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8505" firstSheet="4" activeTab="4"/>
  </bookViews>
  <sheets>
    <sheet name="caminos" sheetId="1" state="hidden" r:id="rId1"/>
    <sheet name="Anexo 1 LEI" sheetId="2" state="hidden" r:id="rId2"/>
    <sheet name="regiones indigenas" sheetId="3" state="hidden" r:id="rId3"/>
    <sheet name="Hoja2" sheetId="4" state="hidden" r:id="rId4"/>
    <sheet name="ESTRATEGICOS" sheetId="5" r:id="rId5"/>
  </sheets>
  <definedNames>
    <definedName name="_xlnm._FilterDatabase" localSheetId="1" hidden="1">'Anexo 1 LEI'!$A$7:$AR$74</definedName>
    <definedName name="_xlnm._FilterDatabase" localSheetId="2" hidden="1">'regiones indigenas'!$A$7:$GY$32</definedName>
    <definedName name="_xlnm.Print_Area" localSheetId="1">'Anexo 1 LEI'!$A$1:$Z$80</definedName>
    <definedName name="_xlnm.Print_Area" localSheetId="4">'ESTRATEGICOS'!$A$1:$V$16</definedName>
    <definedName name="_xlnm.Print_Area" localSheetId="2">'regiones indigenas'!$A$1:$Z$42</definedName>
    <definedName name="_xlnm.Print_Titles" localSheetId="4">'ESTRATEGICOS'!$1:$6</definedName>
    <definedName name="_xlnm.Print_Titles" localSheetId="2">'regiones indigenas'!$1:$7</definedName>
  </definedNames>
  <calcPr fullCalcOnLoad="1"/>
</workbook>
</file>

<file path=xl/comments2.xml><?xml version="1.0" encoding="utf-8"?>
<comments xmlns="http://schemas.openxmlformats.org/spreadsheetml/2006/main">
  <authors>
    <author>roberto.n</author>
  </authors>
  <commentList>
    <comment ref="Q8" authorId="0">
      <text>
        <r>
          <rPr>
            <b/>
            <sz val="8"/>
            <rFont val="Tahoma"/>
            <family val="2"/>
          </rPr>
          <t>roberto.n:</t>
        </r>
        <r>
          <rPr>
            <sz val="8"/>
            <rFont val="Tahoma"/>
            <family val="2"/>
          </rPr>
          <t xml:space="preserve">
al haber ampliacion de linea de distribucion es necesario que se haga el cambio de unidad a KM, (para uniformizar unidades)</t>
        </r>
      </text>
    </comment>
  </commentList>
</comments>
</file>

<file path=xl/comments3.xml><?xml version="1.0" encoding="utf-8"?>
<comments xmlns="http://schemas.openxmlformats.org/spreadsheetml/2006/main">
  <authors>
    <author>roberto.n</author>
  </authors>
  <commentList>
    <comment ref="Q55" authorId="0">
      <text>
        <r>
          <rPr>
            <b/>
            <sz val="8"/>
            <rFont val="Tahoma"/>
            <family val="2"/>
          </rPr>
          <t>roberto.n:</t>
        </r>
        <r>
          <rPr>
            <sz val="8"/>
            <rFont val="Tahoma"/>
            <family val="2"/>
          </rPr>
          <t xml:space="preserve">
no tenemos esta unidad en la apertura programatica que venimos usando, ha sido validado por CONAGUA para SEDESOL desde el año pasado en el mismo municipio (Cadereyta de Montes)</t>
        </r>
      </text>
    </comment>
  </commentList>
</comments>
</file>

<file path=xl/sharedStrings.xml><?xml version="1.0" encoding="utf-8"?>
<sst xmlns="http://schemas.openxmlformats.org/spreadsheetml/2006/main" count="1641" uniqueCount="560">
  <si>
    <t>Información de la obra, proyecto o acción</t>
  </si>
  <si>
    <t>Región Indígena</t>
  </si>
  <si>
    <t>Municipio (s)</t>
  </si>
  <si>
    <t>Localidad (es)</t>
  </si>
  <si>
    <t>Metas totales</t>
  </si>
  <si>
    <t>Ubicación</t>
  </si>
  <si>
    <t>Subprograma</t>
  </si>
  <si>
    <t>Suma</t>
  </si>
  <si>
    <t>CDI</t>
  </si>
  <si>
    <t>Estatal</t>
  </si>
  <si>
    <t>Municipal</t>
  </si>
  <si>
    <t>Participantes</t>
  </si>
  <si>
    <t>Dependencia</t>
  </si>
  <si>
    <t>Ejecutora</t>
  </si>
  <si>
    <t>Elementos Programáticos</t>
  </si>
  <si>
    <t>PG</t>
  </si>
  <si>
    <t>ME</t>
  </si>
  <si>
    <t>SIT</t>
  </si>
  <si>
    <t>Del Proyecto</t>
  </si>
  <si>
    <t>U. de Medida</t>
  </si>
  <si>
    <t>Cantidad</t>
  </si>
  <si>
    <t>Avance físico</t>
  </si>
  <si>
    <t>%</t>
  </si>
  <si>
    <t>Beneficiarios Totales</t>
  </si>
  <si>
    <t>Nombre la obra</t>
  </si>
  <si>
    <t>Mujeres</t>
  </si>
  <si>
    <t>Hombres</t>
  </si>
  <si>
    <t>Descripción de los trabajos
(Principales partidas a ejecutar)</t>
  </si>
  <si>
    <t>C</t>
  </si>
  <si>
    <t>IT</t>
  </si>
  <si>
    <t>Periodo estimado de ejecución (días)</t>
  </si>
  <si>
    <t>22/01/0002/2009</t>
  </si>
  <si>
    <t>22/01/0003/2009</t>
  </si>
  <si>
    <t>22/01/0004/2009</t>
  </si>
  <si>
    <t>al 31/12/2009</t>
  </si>
  <si>
    <t>Construcción de camino a base de piedra bola E.C. km 46+300 (Carretera Estatal 300)-Santiago Mexquititlán Barrio 4o., Tramo: del km 0+000 al km 2+539, subtramo: del km 0+000 al km 1+419</t>
  </si>
  <si>
    <t>Construcción de camino a base de piedra bola Santiago Mexquititlán Barrio 1o.-Santiago Mexquititlán Barrio 4o., Tramo: del km 0+000 al km 1+611</t>
  </si>
  <si>
    <t>Construcción de camino a base de piedra bola  Santiago Mexquititlán Barrio 1º-Santiago Mexquititlán Barrio 3o., tramo del km 0+000 al km 5+000, subtramo del km 0+000 al 2+200</t>
  </si>
  <si>
    <t>No obra</t>
  </si>
  <si>
    <t>Nombre de la obra</t>
  </si>
  <si>
    <t>E.C. km 46+300 (Carretera Estatal 300)</t>
  </si>
  <si>
    <t>0+000</t>
  </si>
  <si>
    <t>0+500</t>
  </si>
  <si>
    <t>1+000</t>
  </si>
  <si>
    <t>1+500</t>
  </si>
  <si>
    <t>2+000</t>
  </si>
  <si>
    <t>Santiago Mexquititlán Barrio 4o.</t>
  </si>
  <si>
    <t>3+000</t>
  </si>
  <si>
    <t>3+500</t>
  </si>
  <si>
    <t>4+500</t>
  </si>
  <si>
    <t>5+000</t>
  </si>
  <si>
    <t>Santiago Mexquititlán Barrio 1o.</t>
  </si>
  <si>
    <t>2+539=1+611</t>
  </si>
  <si>
    <t>4+150=0+000</t>
  </si>
  <si>
    <t>5+500</t>
  </si>
  <si>
    <t>6+000</t>
  </si>
  <si>
    <t>6+500</t>
  </si>
  <si>
    <t>7+000</t>
  </si>
  <si>
    <t>7+500</t>
  </si>
  <si>
    <t>8+000</t>
  </si>
  <si>
    <t>8+500</t>
  </si>
  <si>
    <t>9+150=5+000</t>
  </si>
  <si>
    <t>Santiago Mexquititlán Barrio 3o.</t>
  </si>
  <si>
    <t xml:space="preserve">ANEXO No. 1 DEL ACUERDO DE COORDINACIÓN 2010 QUE CELEBRAN LA COMISIÓN NACIONAL PARA EL DESARROLLO DE LOS PUEBLOS INDIGENAS Y
EL PODER EJECUTIVO DEL ESTADO LIBRE Y SOBERANO DE QUERÉTARO </t>
  </si>
  <si>
    <t>Por realizar en 2010</t>
  </si>
  <si>
    <t>al 31/12/2010</t>
  </si>
  <si>
    <t>SC</t>
  </si>
  <si>
    <t>SG</t>
  </si>
  <si>
    <t>No. de obra</t>
  </si>
  <si>
    <t>Estructura Financiera 2010 (Pesos)</t>
  </si>
  <si>
    <t xml:space="preserve">MODALIDAD DE PROYECTOS ESTRATÉGICOS </t>
  </si>
  <si>
    <t xml:space="preserve">02b) </t>
  </si>
  <si>
    <t>Ampliación</t>
  </si>
  <si>
    <t>013 Peñamiller</t>
  </si>
  <si>
    <t>0037 El Moral</t>
  </si>
  <si>
    <t>Gobierno del Estado (H. Ayuntamiento de Peñamiller)</t>
  </si>
  <si>
    <t>0122 La Laja</t>
  </si>
  <si>
    <t>Sistema</t>
  </si>
  <si>
    <t>UC</t>
  </si>
  <si>
    <t>Estudios y Proyectos</t>
  </si>
  <si>
    <t xml:space="preserve">Estudios de mecánica de suelos y de ingeniería de tránsito
Dictamen del impacto ambiental
Trazo y nivelación
Secciones transversales o de construcción
Perfil (alineamiento horizontal y vertical)
Curva masa y datos de construcción
Proyecto de obras de drenaje, diseño de pavimento y de señalamiento (horizontal y vertical) </t>
  </si>
  <si>
    <t>Proyecto</t>
  </si>
  <si>
    <t>Los demás componentes del sistema estan en buenas condicones, el pozo tiene la capacidad de aforo para la ampliación propuesta, la linea de conducción es para ampliar la capacidad de conducción hacia tanque</t>
  </si>
  <si>
    <t>Se anexa croquis</t>
  </si>
  <si>
    <t>en el transcurso del día paso el dato de Km</t>
  </si>
  <si>
    <t>Línea de distribución (U.M. Kilómetro)
Red de distribución (U.M. Poste)
Luminarias suburbanas (U.M. Pieza)
Acometidas eléctrica (U.M. Pieza)</t>
  </si>
  <si>
    <t>Kilómetro</t>
  </si>
  <si>
    <t>PT</t>
  </si>
  <si>
    <t>GM</t>
  </si>
  <si>
    <t>Muy Alto</t>
  </si>
  <si>
    <t>xxxxxx</t>
  </si>
  <si>
    <t>Alto</t>
  </si>
  <si>
    <t>0022 Cruz del Milagro</t>
  </si>
  <si>
    <t>Ampliación del sistema de agua potable para beneficiar a la localidad de Cruz del Milagro, en el municipio de Peñamiller</t>
  </si>
  <si>
    <t>Gobierno del Estado (H. Ayuntamiento de Ezequiel Montes)</t>
  </si>
  <si>
    <t>UB</t>
  </si>
  <si>
    <t>02f)</t>
  </si>
  <si>
    <t>Construcción</t>
  </si>
  <si>
    <t>0002 Barreras
0015 Guanajuatito</t>
  </si>
  <si>
    <t>Metro lineal</t>
  </si>
  <si>
    <t>132          168</t>
  </si>
  <si>
    <t>150          196</t>
  </si>
  <si>
    <t>250
294</t>
  </si>
  <si>
    <t>Alto
Alto</t>
  </si>
  <si>
    <t>Verifique en campo el sitio del puente el fin de semana y es un camino rural Barreras - Ejido Villa Progreso el cruce está en km 3+800 en arroyo denominado El Guaje, este es un arroyo que en el tiempo de lluvias no permite el paso de la gente que va del ejido hacia la comunidad de Barreras y Guanajuatito. Anexo croquis de ubicación del camino</t>
  </si>
  <si>
    <t>Red de distribución
Tomas domiciliarias</t>
  </si>
  <si>
    <t xml:space="preserve"> Los elemntos existentes del sistema estan en buenas condiciones, el pozo cuenta conm la capacidad para cubrir el gasto de esta ampliación , la potablilización es con gas cloro</t>
  </si>
  <si>
    <t>Ampliación del sistema de agua potable para beneficiar a la localidad de Loberas, en el municipio de Ezequiel Montes</t>
  </si>
  <si>
    <t>0021 Loberas</t>
  </si>
  <si>
    <t>Ampliación del sistema de agua potable para beneficiar a la localidad de El Bondotal, en el municipio de Ezequiel Montes</t>
  </si>
  <si>
    <t>0004 El Bondotal</t>
  </si>
  <si>
    <t>los elemntos existentes del sistema estan en buenas condiciones, el pozo cuenta conm la capacidad para cubrir el gasto de esta ampliación , la potablilización es con gas cloro</t>
  </si>
  <si>
    <t>0015 Guanajuatito</t>
  </si>
  <si>
    <t xml:space="preserve">Esta es una ampliación de la red y tomas del sistema existente en la comunidad, los demás componentes del sistema se encuentran en buenas condiciones y operando, la potabilización sigue siendo con gas cloro, la fuente es un pozo con capacidad de 9.3 lts 7sg con capacidad para la ampliación propuesta </t>
  </si>
  <si>
    <t>Agrego nombre de calles</t>
  </si>
  <si>
    <t xml:space="preserve">UC </t>
  </si>
  <si>
    <t>02a)</t>
  </si>
  <si>
    <t>I</t>
  </si>
  <si>
    <t>SD</t>
  </si>
  <si>
    <t>02</t>
  </si>
  <si>
    <t xml:space="preserve">Los demás componentes del sistema se encuentran operando, la PTAR tiene capacidad para recibir el gasto de esta ampliación </t>
  </si>
  <si>
    <t>se ajusto el monto de la obra, debido a la validación de proyecto, (Iva  y número de descargas)</t>
  </si>
  <si>
    <t>Gobierno del Estado (H. Ayuntamiento de Colón)</t>
  </si>
  <si>
    <t xml:space="preserve">02a) </t>
  </si>
  <si>
    <t>Modernización y Ampliación</t>
  </si>
  <si>
    <t xml:space="preserve">005 Colón </t>
  </si>
  <si>
    <t>0035 El Potrero, 0041 Salitrera (Presa de la Soledad)</t>
  </si>
  <si>
    <t>48          197</t>
  </si>
  <si>
    <t>47         233</t>
  </si>
  <si>
    <t>dentro de obras complementarias se considera reubicación de plantas especies varias</t>
  </si>
  <si>
    <t xml:space="preserve">Existe proyecto ejecutivo y permisos tambien la disposicón del estado y municipio por paortar los recursos, sin queda pendiente para el proximo año </t>
  </si>
  <si>
    <r>
      <t>Modernización y ampliación del camino Salitrera (Presa de la Soledad)</t>
    </r>
    <r>
      <rPr>
        <sz val="10"/>
        <rFont val="Arial Narrow"/>
        <family val="2"/>
      </rPr>
      <t>-</t>
    </r>
    <r>
      <rPr>
        <sz val="10"/>
        <rFont val="Arial"/>
        <family val="2"/>
      </rPr>
      <t xml:space="preserve">El Carrizal, Tramo: del Km 0+000 al km 3+000
</t>
    </r>
    <r>
      <rPr>
        <sz val="10"/>
        <color indexed="10"/>
        <rFont val="Arial"/>
        <family val="2"/>
      </rPr>
      <t>(FREYES.- Se requiere de un croquis en donde se ubique el trazo del camino y las localidade spor beneficiar) El tramo del EC (Colón-Tolimán) a Salitrera en que situación se encuentra?, es un camino rural o ya esta modernizado y pavimentado?</t>
    </r>
  </si>
  <si>
    <t>005 Colón</t>
  </si>
  <si>
    <r>
      <rPr>
        <sz val="10"/>
        <color indexed="10"/>
        <rFont val="Arial"/>
        <family val="2"/>
      </rPr>
      <t xml:space="preserve">0041 Salitrera (Presa de la Soledad)     </t>
    </r>
    <r>
      <rPr>
        <sz val="10"/>
        <rFont val="Arial"/>
        <family val="2"/>
      </rPr>
      <t xml:space="preserve">        
0009 El Carrizal</t>
    </r>
  </si>
  <si>
    <r>
      <t xml:space="preserve">Terracerias
Obras de drenaje
Pavimentos
Señalización horizontal y vertical
</t>
    </r>
    <r>
      <rPr>
        <sz val="10"/>
        <color indexed="10"/>
        <rFont val="Arial"/>
        <family val="2"/>
      </rPr>
      <t xml:space="preserve">(FREYES.- Se sugiere que los conceptos que mencionas en tu comentario sea incluido dentro de la partida de Terracerias. Aparte de estas acciones que mas se tiene consideradas en Obras complementarias? sí solo es esto de igual manera se sugiere no incluir la partida)   </t>
    </r>
    <r>
      <rPr>
        <sz val="10"/>
        <rFont val="Arial"/>
        <family val="2"/>
      </rPr>
      <t xml:space="preserve">         </t>
    </r>
  </si>
  <si>
    <t>El tramo del EC (Colón-Tolimán) a Salitrera, es un camino rural con ancho promedio de 5 mts, solo en la entrada aprox. 500 mts tienen un camino revestido con piedra bola en buenas condiciones con el mismo ancho, dentro de la partida de Obras complementarias, solo está considerado el concepto de reubicación de plantas. Se anexa croquis.</t>
  </si>
  <si>
    <t>Ampliación de la red de distribución de energia electrica para beneficiar a la localidad de El Poleo, en el municipio de Colón</t>
  </si>
  <si>
    <t>0034 El Poleo</t>
  </si>
  <si>
    <t>Poste</t>
  </si>
  <si>
    <t>Gobierno del Estado (H. Ayuntamiento de Cadereyta de Montes)</t>
  </si>
  <si>
    <t xml:space="preserve">SG </t>
  </si>
  <si>
    <t>02b)</t>
  </si>
  <si>
    <t>Ampliación de la red de distribución de energía eléctrica para beneficiar a la localidad de Altamira (La Bondotita), en el municipio de Cadereyta de Montes</t>
  </si>
  <si>
    <t>xxxxxxx</t>
  </si>
  <si>
    <t>004 Cadereyta de Montes</t>
  </si>
  <si>
    <t>postes</t>
  </si>
  <si>
    <t xml:space="preserve">0112 El Soyatal
 </t>
  </si>
  <si>
    <t>Ampliación de la red de distribución de energía eléctrica para beneficiar a la localidad de Los Juárez, en el municipio de Cadereyta de Montes</t>
  </si>
  <si>
    <t xml:space="preserve">0048 Los Juárez
 </t>
  </si>
  <si>
    <t>Ampliación de la red de distribución de energía eléctrica para beneficiar a la sección "El Puertecito" en la localidad de La Tinaja, en el municipio de Cadereyta de Montes</t>
  </si>
  <si>
    <t>0118 La Tinaja</t>
  </si>
  <si>
    <t>Ampliación de la red de distribución de energía eléctrica para beneficiar a la sección "Pie del Cerro" en la localidad de La Pastilla, en el municipio de Cadereyta de Montes</t>
  </si>
  <si>
    <t>0076 La Pastilla</t>
  </si>
  <si>
    <t>Ampliación de la red de distribución de energía eléctrica para beneficiar a la sección de "La Ceja" en la localidad de La Culata, en el municipio de Cadereyta de Montes</t>
  </si>
  <si>
    <t>0028 La Culata</t>
  </si>
  <si>
    <t>Ampliación de la red de distribución de energía eléctrica para beneficiar a las secciones de "Los Resendiz" y "Los Ramírez"  en la localidad de La Laja, en el municipio de Cadereyta de Montes</t>
  </si>
  <si>
    <t>0050 La Laja</t>
  </si>
  <si>
    <t>0082 La Puerta</t>
  </si>
  <si>
    <t>Ampliación de la red de distribución de energía eléctrica para beneficiar a la localidad de Boyecito, en el municipio de Cadereyta de Montes</t>
  </si>
  <si>
    <t>0152 Boyecito</t>
  </si>
  <si>
    <t>Ampliación de la red de distribución de energía eléctrica para beneficiar a la localidad de Chavarrías, en el municipio de Cadereyta de Montes</t>
  </si>
  <si>
    <t>0031 Chavarrías</t>
  </si>
  <si>
    <t>Ampliación de la red de distribución de energía eléctrica para beneficiar a la localidad de Las Viguitas, en el municipio de Cadereyta de Montes</t>
  </si>
  <si>
    <t>Ampliación de la red de distribución de energía eléctrica para beneficiar a la localidad de El Banco, en el municipio de Cadereyta de Montes</t>
  </si>
  <si>
    <t>0011 El Banco</t>
  </si>
  <si>
    <t>Ampliación de la red de distribución de energía eléctrica para beneficiar a la localidad de la Florida, en el municipio de Cadereyta de Montes</t>
  </si>
  <si>
    <t>0041 La Florida</t>
  </si>
  <si>
    <t>(FREYES.- Porque la Delegación propone  que con recursos del PIBAI se concluyan trabajos no ejecutados por otras dependnecias. Que garantia se tiene de los trabajos ejecutados en 2009 cuenten con la calidad que el PIBAI exige a través de su normativa)</t>
  </si>
  <si>
    <t>Ampliación de la red de distribución de energía eléctrica para beneficiar a la localidad de Jabalí, en el municipio de Cadereyta de Montes</t>
  </si>
  <si>
    <t>0047 Jabalí</t>
  </si>
  <si>
    <t>VERIFICA LA ESTRUCTURA FINANCIERA</t>
  </si>
  <si>
    <t>T</t>
  </si>
  <si>
    <t xml:space="preserve">Kilómetro </t>
  </si>
  <si>
    <t>La SCT, durante 2009, ejecutó con recursos del estado las partidas de terracerias y obras de drenaje en el cadenamiento del 19+000 al 24+151.18., Dentro de obras complementarias esta: bordillos, cunetas, lavaderos y demolición de alcantarillas y cabezotes</t>
  </si>
  <si>
    <t>El municipio aporta 500 mil, mismos que se le reducen a la CDI</t>
  </si>
  <si>
    <t>La 1ra etapa fue ejecutada por la SCT, dicho proyecto ejecutivo fue elaborado por ellos mismos, con recursos del gobierno del Estado  la SCT firmó contrato por 8 mdp, estos trabajos son  nuevos por lo tanto se encuentran en buenas condicones, el proyecto ejecutivo para la etapa 2010 fue integrado por SCT, sin embargo por cuestiones de carga de trabajo de esta dependencia se propone que sea el municipio el ejecutor. La estructura financiera se ajusta 65% CDI  - 45% (Edo/mpio)</t>
  </si>
  <si>
    <t>0048 Los Juárez</t>
  </si>
  <si>
    <t>Dentro de obras complementarias esta: bordillos, cunetas, lavaderos y demolición de alcantarillas y cabezotes</t>
  </si>
  <si>
    <t>Ing. Julio. Justamente los 6.3 mdp son del PEF, estan propuestos como contraparte junto con la aportación municipal para estar en condiciones de concluir la obra en el ejercicio fiscal. por esta razón se propone esta estructura financiera 44.72%  CDI /  55.28% (PEF-Mpio)</t>
  </si>
  <si>
    <t>Gobierno del Estado (H. Ayuntamiento de Jalpan de Serra)</t>
  </si>
  <si>
    <t>proyecto</t>
  </si>
  <si>
    <t>Estudio de Mecanica de suelos y de Ingenieria de transito, Dictamen de impacto ambiental, Trazo y nivelación, secciones transversales o de construcción, perfil (alineamineto horizontal y vertical), curva masa y datos de construcción, proyecto de obras de drenaje, diseño de pavimento y de señalamiento (horizontal y vertical)</t>
  </si>
  <si>
    <t>De acuerdo al croquis que envio anexo, existen varias localidaes más se benefician, sin embargo no las agrego porque estan en ramales hacia los lados, no estan sobre el trazo (Mesa del Pino, San Juan de Los Durán, La Cercada, El Pocito y Carrizal de Los Durán), se sugirio al municipio revisar presupuesto ya que comparado con otros este era bajo, ademas por ser Reserva de la Biosfera es necesario elaborar la MIA con mayor profundidad.</t>
  </si>
  <si>
    <t>Despues de la revisión hecha con el gobierno del estado, se indico al mpio que el estudio y proyecto se realizara desde el 0+000 al 12+000, anteriormente se no se consideraba del 0+000 al 2+000 y del 11+000 al 12+000 porque actualmente existe un camino con ancho de 4.5 mts de ancho con riego de impregnación que no cumple con la normatividad de SCT, por esta razón se propone hacer proyecto ejecutivo completo.  con esto se ajusta presupuesto, las localidaes que se benefician son las señaladas (aunque no estan exactamente sobre el trazo, se encuentran en ramales cada una de 1 km aprox.</t>
  </si>
  <si>
    <t>No Convencional</t>
  </si>
  <si>
    <t>0037 Los Jasso</t>
  </si>
  <si>
    <t>Equipo</t>
  </si>
  <si>
    <t>Modulo Fotovoltaico, Controlador de Carga, Lamparas Fluorescentes, Bateria, Tubo Soporte y Accesorios para Instalaciòn.</t>
  </si>
  <si>
    <t>No se propone la luz convencional porque la linea más proxima esta a  9 Kms, otra vía más cercana a la localidad de Los Jasso, es la localidad de Mesa del Sauz pero no existe camino</t>
  </si>
  <si>
    <t xml:space="preserve">Ampliación </t>
  </si>
  <si>
    <t>Km</t>
  </si>
  <si>
    <t>Ok</t>
  </si>
  <si>
    <t>Gobierno del Estado (H. Ayuntamiento de Amealco de Bonfil)</t>
  </si>
  <si>
    <t>Mazahua-Otomí</t>
  </si>
  <si>
    <t>001 Amealco de Bonfil</t>
  </si>
  <si>
    <t xml:space="preserve">
Red de distribución
Tomas domiciliarias
</t>
  </si>
  <si>
    <t>La fuente de abastecimiento es un pozo, cuenta con la capacidad para la ampliación y los elementos se encuentran en buenas condiciones y operando, la potabilización es con gas cloro</t>
  </si>
  <si>
    <t>La fuente de abastecimiento es un pozo, cuenta con la capacidad para la ampliación y los elementos se encuentran en buenas condiciones y operando, la potabilización es copn gas cloro.</t>
  </si>
  <si>
    <t xml:space="preserve">El agua se tomará de un sistema existente. El metodo de potablización es con gas cloro, el pozo tiene la capacidad para cubrir esta ampliación </t>
  </si>
  <si>
    <t>Postes</t>
  </si>
  <si>
    <t xml:space="preserve">Red de distribución
Acometidas eléctricas
Lámparas suburbanas </t>
  </si>
  <si>
    <t>este barrio se puede incluir en la obra del paquete anterior</t>
  </si>
  <si>
    <t>estos barrios se pueden incluir en la obra del paquete anterior</t>
  </si>
  <si>
    <t xml:space="preserve">Construcción  </t>
  </si>
  <si>
    <t xml:space="preserve">Terracerias
Obras de drenaje
Obras complementarias
Revestimiento (a base de piedra bola)
Señalización vertical
</t>
  </si>
  <si>
    <t xml:space="preserve">Se propone reducir la meta de tal modo que el tramo sea del E.C a la comunidad del Km 0+000 al km 1+360 </t>
  </si>
  <si>
    <t>en el tramo propuesto no existe camino revestido con piedra bola, actualmente es una terraceria con 4.5 mts promedio al ancho de corona</t>
  </si>
  <si>
    <t>La SCT les autoriza estos caminos para revestirlos con piedra bola con un ancho de 6 mts, no se trata de una carretera, la velocidad maxima es de aproximadamente 40 km/hr</t>
  </si>
  <si>
    <t>537     127</t>
  </si>
  <si>
    <t>571      148</t>
  </si>
  <si>
    <t xml:space="preserve">Existe  un tramo del km 0+000 un al 0+500 revestido con piedra bola, esta propuesto en proyecto ampliar a los hombros aproximadamente 1.5 mts, el resto es una terracería de 4.5 a 5 mts </t>
  </si>
  <si>
    <t>Gobierno del Estado (H. Ayuntamiento de Tolimán)</t>
  </si>
  <si>
    <t>018 Tolimán</t>
  </si>
  <si>
    <t xml:space="preserve">La fuente de abasto es un pozo ubicado en la comunidad de el Shamizal , el gasto es de 20 lts/seg y es suficiente para la ampliación. Los demás elementos son nuevos apoyados con sedesol y una primera etapa con CDI para captación y conducción, potabilización es con hipoclorito de sodio, </t>
  </si>
  <si>
    <t>0022 Gudinos</t>
  </si>
  <si>
    <t>La fuente de abasto es un pozo ubicado en la comunidad de El Poleo, el gasto es de 6 lts/seg y es suficiente para la ampliación. Los demás elementos son nuevos apoyados con sedesol y una primera etapa con CDI para captación y conducción, potabilización es con hipoclorito de sodio. segun CONAPO tiene marginación alta</t>
  </si>
  <si>
    <t>0070 Diezmero</t>
  </si>
  <si>
    <t>Fuente de abasto es un manantial el gasto es de 3 lts/seg y es suficiente para la ampliacioón, los demás componentes  estan en buenas condicones, la potablización es con gas cloro. La localidad si es elegible según CONAPO tiene marginación alta</t>
  </si>
  <si>
    <t xml:space="preserve">LA  PTAR  tiene una capacidad para 8 lts7seg actualemnte  se tratan 4.5 lts, los demas componentes estan operando en buenas condiciones </t>
  </si>
  <si>
    <t>0040 Rancho Nuevo</t>
  </si>
  <si>
    <t xml:space="preserve">Los demás componentes del sistema se encuentran en buenas condiciones y operando, la PTAR  (San Pablo de 5 lts7seg 2.5 actual cuenta con capacidad suficiente para la ampliación </t>
  </si>
  <si>
    <t xml:space="preserve">La PTAR  se ubica en San Pablo tiene capacidad de 5 lts/seg actualemnte tiene un gasto de 2.5, aun cuenta con capacidad suficiente para la ampliación </t>
  </si>
  <si>
    <t>en un aprimera etapa en 2006 se apoyo la red de atrageas, y esta es una segunda etapa, los demas elementos del sistema estan operando, la PTAR,  LA  PTAR  tiene una capacidad para 8 lts7seg actualemnte  se tratan 4.5 lts</t>
  </si>
  <si>
    <t>LA  PTAR  tiene una capacidad para 8 lts7seg actualemnte  se tratan 4.5 lts</t>
  </si>
  <si>
    <t>02b</t>
  </si>
  <si>
    <t>0009 Casa Blanca</t>
  </si>
  <si>
    <t>Esta obra considera la ampliación sobre el camino principal.</t>
  </si>
  <si>
    <t>0055 El Terrero</t>
  </si>
  <si>
    <t>Esta es una nueva ampliación a un barrio , si es la misma localidad atendida en 2005., la localidad si es elegible remito CONAPO 2005</t>
  </si>
  <si>
    <t>0004 Bomintzá</t>
  </si>
  <si>
    <t>0074 Barrio de García</t>
  </si>
  <si>
    <t>La PTAR  tiene una capacidad para 8 lts/seg actualemnte  se tratan 4.5 lts</t>
  </si>
  <si>
    <t>0119 El Tule</t>
  </si>
  <si>
    <t>de la revisión y consulta se verifico que la ampliación es en camino a Sabino de San Ambrosio</t>
  </si>
  <si>
    <t>Se anexa obra nueva</t>
  </si>
  <si>
    <t>Rectifico el monto de la obra, por motivo de incluir un barrio adicional para sea una sola obra en la localidad</t>
  </si>
  <si>
    <t>0025 Rancho de Guadalupe                     0006 La Cañada             0016 El Chilar</t>
  </si>
  <si>
    <t>Terracerias                              Obras de Drenaje       Pavimento  Señalamiento horizontal y vertical</t>
  </si>
  <si>
    <t>Se anexa croquis de localización , las localidades si son elegibles, excepto Rancho de Gpe de marginación media</t>
  </si>
  <si>
    <t>22/02/0022/2010</t>
  </si>
  <si>
    <t>Gobierno del Estado (H. Ayuntamiento de Arroyo Seco)</t>
  </si>
  <si>
    <t xml:space="preserve">Sin región </t>
  </si>
  <si>
    <t>003 Arroyo Seco</t>
  </si>
  <si>
    <t xml:space="preserve">0056 San Juan Buenaventura, 0054 San Jose de las Flores </t>
  </si>
  <si>
    <t>116       86</t>
  </si>
  <si>
    <t>141      86</t>
  </si>
  <si>
    <t>Terracerias
Obras de drenaje
Pavimentos
Señalización horizontal y vertical</t>
  </si>
  <si>
    <t xml:space="preserve">el único camino para llegar a la comunidad de San José de las Flores es pasando por la comunidad de San Juan Buena ventura, por esa razón proponemos el tramo completo, actualmente existe proyecto del 0+000 al 12+450 y permiso de impacto ambiental, servidumbre de paso. Del 12+450 al 18+500 se propone la elaboraci+on de estudios y proyecto ejecutivo. Anexo croquis de localización </t>
  </si>
  <si>
    <t xml:space="preserve">Se propone utilizar el camino que pasa por San Juan Buena Ventura hacia San José de las Flores porque San Juan es Delegación municipal y las localidades que se encuentran hacia arriba son subdelegaciones (Laguna de la Cruz, Casas Viejas y San José de las Flores) tienen que hacer sus tramites diversos ante San Juan Buenaventura, asi tambien de San Juan Buena Ventura existe camino de terracería que comunica al muniicpio de Jalpan, lo que daria dinamismo a esta zona. La etapa que se propone es de 5 kms con recursos del Edo/Mpio y CDI, la inversión del PEF el Edo la considera para otro tramo (no definido aún) de Purisima de Arista a San Juan. </t>
  </si>
  <si>
    <t>Estudios de mecánica de suelos y de ingeniería de tránsito
Dictamen del impacto ambiental
Trazo y nivelación
Secciones transversales o de construcción
Perfil (alineamiento horizontal y vertical)
Curva masa y datos de construcción
Proyecto de obras de drenaje, diseño de pavimento y de señalamiento (horizontal y vertical)</t>
  </si>
  <si>
    <t xml:space="preserve">Anexo croquis de localización </t>
  </si>
  <si>
    <t>Remito croquis con trazo del camino, las localidades beneficairias son las que se indican (0108 El Rincón  y  0026 El Divisadero)</t>
  </si>
  <si>
    <t>En croquis anexo indico la ubicación de la localidad el Tepamal y Mesa del Sauz, la ruta es la más corta que pasa por la localidad de EL Tepamal, por tanto se ajusta presupuesto</t>
  </si>
  <si>
    <t>Elaboración de los estudios y proyecto ejecutivo para la modernización y ampliación del camino E.C. km 5+000 (Peña Blanca-Peñamiller)-La Paz-Milpillas, Tramo estimado: del km 0+000 al km 12+000</t>
  </si>
  <si>
    <t>Red de atarjeas
Descargas domiciliarias</t>
  </si>
  <si>
    <t>Ampliación del sistema de alcantarillado sanitario para beneficiar al Barrio "La Boveda" en la localidad de Guanajuatito, en el municipio de Ezequiel Montes</t>
  </si>
  <si>
    <t>xx</t>
  </si>
  <si>
    <t>Terracerias
Obras de drenaje
Pavimento
Señalamiento (horizontal y vertical)</t>
  </si>
  <si>
    <t xml:space="preserve">Modernización y ampliación de camino Tancoyol-El Divisadero-El Rincón, Tramo a modernizar: del km 0+000 al km 2+400 </t>
  </si>
  <si>
    <t>Construcción de camino a base de piedra bola y/o pepena Chiteje de Garabato-El Varal, Tramo: del km 0+ 000 al km 4+514, subtramos a construir: del km 0+000 al km 0+829 y del km 2+113 al 4+514</t>
  </si>
  <si>
    <r>
      <t xml:space="preserve">Ampliación del sistema de alcantarillado sanitario para beneficiar al </t>
    </r>
    <r>
      <rPr>
        <sz val="10"/>
        <color indexed="10"/>
        <rFont val="Arial"/>
        <family val="2"/>
      </rPr>
      <t>Barrio "Centro"</t>
    </r>
    <r>
      <rPr>
        <sz val="10"/>
        <rFont val="Arial"/>
        <family val="2"/>
      </rPr>
      <t xml:space="preserve"> de la localidad de xxxxxxxxxx, municipio de Tolimán
</t>
    </r>
    <r>
      <rPr>
        <sz val="10"/>
        <color indexed="10"/>
        <rFont val="Arial"/>
        <family val="2"/>
      </rPr>
      <t>(FREYES.- Aque localidad pertenece el Bo. Centro)</t>
    </r>
  </si>
  <si>
    <t>xxx</t>
  </si>
  <si>
    <t>03</t>
  </si>
  <si>
    <t>Construción del sistema de alcantarillado sanitario (2da Etapa) para beneficiar a la localidad de Barrio de Casas Viejas, en el municipio de Tolimán</t>
  </si>
  <si>
    <r>
      <t xml:space="preserve">Modernización y ampliación de camino La Cañada - Rancho de Guadalupe - El Chilar, tramo: del Km 5+300 al Km 10+000 Subtramo a modernizar del Km 5+300 AL 6+900
</t>
    </r>
    <r>
      <rPr>
        <sz val="10"/>
        <color indexed="10"/>
        <rFont val="Arial"/>
        <family val="2"/>
      </rPr>
      <t>(FREYES.- Conforme a la cartografia de la SCT y al croquis de enviaste, sólo falta camino de El Chilar a Rancho Guadalupe. Verifica en que situación se encuentra el tramo de Toliman-El Chilar y de Toliman-Rancho Guadalupe) Porque no se señala el cadenamiento 0+000, se trata de una obra de continuidad a nivel de pavimiento? verificar la situación de la obra y los avances físicos alcanzados y por alcanzar</t>
    </r>
  </si>
  <si>
    <r>
      <t>Modernización y ampliación de camino E.C. Km</t>
    </r>
    <r>
      <rPr>
        <sz val="10"/>
        <color indexed="10"/>
        <rFont val="Arial"/>
        <family val="2"/>
      </rPr>
      <t xml:space="preserve"> </t>
    </r>
    <r>
      <rPr>
        <sz val="10"/>
        <rFont val="Arial"/>
        <family val="2"/>
      </rPr>
      <t xml:space="preserve">23+000 (Carretera Estatal Colon-Tolimán) Salitrera (Presa de la Soledad) - El Potrero tramo: del Km  0+000 al km 5+000, subtramo a modernizar del 0+000 al 1+060
</t>
    </r>
    <r>
      <rPr>
        <sz val="10"/>
        <color indexed="10"/>
        <rFont val="Arial"/>
        <family val="2"/>
      </rPr>
      <t>(Roberto; ajuste el tramo)</t>
    </r>
  </si>
  <si>
    <t xml:space="preserve">Terracerias
Obras de drenaje
Pavimentos                                             Obras complementarias
Señalización horizontal y vertical             </t>
  </si>
  <si>
    <r>
      <t xml:space="preserve">Las obras complementarias son: demolición de alcantarilla, poda de arbol y muro de contención. La meta llega a un punto estratégico (comunidad), se anexa </t>
    </r>
    <r>
      <rPr>
        <sz val="10"/>
        <color indexed="18"/>
        <rFont val="Arial"/>
        <family val="2"/>
      </rPr>
      <t>croquis</t>
    </r>
  </si>
  <si>
    <r>
      <t xml:space="preserve">Modernización y ampliación de camino Purisima de Arista - San Juan Buenaventura- San José de las Flores, Tramo del Km 0+000 al 18+500, Subtramo a modernizar del Km 0+000 al Km 5+000
</t>
    </r>
    <r>
      <rPr>
        <sz val="10"/>
        <color indexed="10"/>
        <rFont val="Arial"/>
        <family val="2"/>
      </rPr>
      <t xml:space="preserve">FREYES.- En acuerdo entre el Delegado y el Ing. Camacho y considerando que el tramo la Purisima-Sn Juan Buenaventura tiene recursos asignados en el PEF y que sólo existe proyecto hasta el km xx+xxx, se determina sólo apoyar la elaboración de los estudios y proyectos y que la SCT termine por ejecutar hasta el km </t>
    </r>
  </si>
  <si>
    <t>007 Ezequiel Montes</t>
  </si>
  <si>
    <t>0029 Los Ramírez</t>
  </si>
  <si>
    <t>Ampliación del sistema de agua potable para beneficiar a la localidad de Los Ramírez, en el municipio de Ezequiel Montes</t>
  </si>
  <si>
    <t>Municipios que no pertenecen a una región indígena</t>
  </si>
  <si>
    <t>Ampliación de sistema de agua potable para beneficiar las calles de "Los Mendoza", "Los Castillo" y "Los Rojas" en la localidad de Guanajuatito, en el municipio de Ezequiel Montes</t>
  </si>
  <si>
    <t>0051 El Saucito</t>
  </si>
  <si>
    <t>0052 La Soledad</t>
  </si>
  <si>
    <t>Ampliación del sistema de agua potable, para beneficiar al Barrio "La Joya-El Capulín" de la localidad de La Soledad, en el municipio de Amealco de Bonfil</t>
  </si>
  <si>
    <t>Línea de conducción
Red de distribución
Tomas domiciliarias</t>
  </si>
  <si>
    <t>Ampliación del sistema de agua potable para beneficiar a la "Sección Norte" de la localidad de El Saucito, en el municipio de Amealco de Bonfil</t>
  </si>
  <si>
    <t>0030 El Picacho</t>
  </si>
  <si>
    <r>
      <t xml:space="preserve">Ampliación del sistema de agua potable, para beneficiar al Barrio "El Coyote" de la localidad El Picacho, en el municipio de Amealco de Bonfil
</t>
    </r>
    <r>
      <rPr>
        <sz val="10"/>
        <color indexed="10"/>
        <rFont val="Arial"/>
        <family val="2"/>
      </rPr>
      <t>(FREYES.- Por las partidas antodas en la columna correspondiente al parecer se trata de la construcción de un sistema nuevo y no de una ampliación como se precisa ó posiblemente el Bo. El Coyote esta muy alejado del resto de la población y es por eso que se hace esta propuesta?)</t>
    </r>
  </si>
  <si>
    <t xml:space="preserve">Obra de captación
   Línea de conducción
Tanque de regulación
Red de distribución
Tomas domiciliarias
</t>
  </si>
  <si>
    <t>Linea de conducción
Red de distribución
Tomas domiciliarias</t>
  </si>
  <si>
    <t>Otomí de Hidalgo - Querétaro</t>
  </si>
  <si>
    <t>0010 Barrio de Casas Viejas</t>
  </si>
  <si>
    <t xml:space="preserve">Red de distribución
Tomas domiciliarias </t>
  </si>
  <si>
    <t>Ampliación del sistema de agua potable para beneficiar al Barrio "Centro" de la localidad de Barrio de Casas Viejas, en el municipio de Tolimán</t>
  </si>
  <si>
    <t>Ampliación del sistema de agua potable para beneficiar a la Colonia "Nueva" de la localidad de Gudinos, en el municipio de Tolimán</t>
  </si>
  <si>
    <t>Ampliación del sistema de agua potable para beneficiar a la Calle hacia el Panteón de la localidad de Diezmero, en el municipio de Tolimán</t>
  </si>
  <si>
    <t>Ampliación del sistema de alcantarillado sanitario para beneficiar a la Colonia "La Villita" de la localidad de Rancho Nuevo, en el municipio de Tolimán</t>
  </si>
  <si>
    <t>Red de atergeas
Descargas domiciliarias</t>
  </si>
  <si>
    <t>009 Jalpan de Serra</t>
  </si>
  <si>
    <t>Suministro e instalación de 14 Módulos Solares para beneficiar a la localidad de Los Jasso, en el municipio Jalpan de Serra</t>
  </si>
  <si>
    <t>0018 Carrizal de los Durán</t>
  </si>
  <si>
    <t>Ampliación de la línea y red de distribución de energía eléctrica para beneficiar a la localidad de Carrizal de los Durán, en el municipio de Jalpan de Serra</t>
  </si>
  <si>
    <t>Linea de distribución
Red de distribución
Acometidas eléctricas</t>
  </si>
  <si>
    <t>Ampliación de la red de distribución de energia electrica, para beneficiar a los Barrios "El Salto", "El Puente" y "Buena Vista" en la localidad de El Saucito, en el municipio de Amealco de Bonfil</t>
  </si>
  <si>
    <t>0013 Chitejé de la Cruz</t>
  </si>
  <si>
    <t>Ampliación de la red de distribución de energía electrica para beneficiar al Barrio "La Cruz" en la localidad de Chitejé de la Cruz, en el Municipio de Amealco de Bonfil</t>
  </si>
  <si>
    <t>Ampliación de la red de distribución de energía electrica para beneficiar al Barrio "El Toril 2" en la localidad de Guadalupe el Terrero, en el Municipio de Amealco de Bonfil</t>
  </si>
  <si>
    <t>0025 Mesillas</t>
  </si>
  <si>
    <t>Ampliación de la red de distribución de energia electrica, para beneficiar a los Barrios "La Rinconada", "Río Cathi", "La Noria", "Los Alvarez" y "Paso Blanco" de la localidad de Mesillas, en el municipio de Amealco de Bonfil</t>
  </si>
  <si>
    <t>0047 Santiago Mexquititlán Barrio 3o.</t>
  </si>
  <si>
    <t xml:space="preserve">Ampliación de la red de distribución de energía electrica para beneficiar al Barrio "El Tejocote" en la localidad de Santiago Mexquititlán Barrio 3o., en el municipio de Amealco de Bonfil </t>
  </si>
  <si>
    <t>0106 La Venta (Santiago Mexquititlán Barrio 6o.)</t>
  </si>
  <si>
    <t xml:space="preserve">Ampliación de la red de distribución de energía electrica para beneficiar al Barrio "Loma del Tejocote" en la localidad de La Venta (Santiago Mexquititlán Barrio 6o.), en el municipio de Amealco de Bonfil   </t>
  </si>
  <si>
    <t>0055 Guadalupe el Terrero</t>
  </si>
  <si>
    <t>Ampliación de la red de distribución de energia electrica para beneficiar a los Barrios "La Soledad" y "La Cancha" en la localidad de La Soledad, en el municipio de Amealco de Bonfil</t>
  </si>
  <si>
    <t>0039 San Ildefonso Tultepec (Centro)</t>
  </si>
  <si>
    <t>Ampliación de la red de distribución de energia electrica para beneficiar a los Barrios "Loma del Pocito" y "Loma del Pathe" en la localidad de San Ildefonso Tultepec (Centro), en el municipio de Amealco de Bonfil</t>
  </si>
  <si>
    <t>0059 El Bothé</t>
  </si>
  <si>
    <t xml:space="preserve">Ampliación de la red de distribución de energia electrica para beneficiar a los Barrios "La Ceja" y "Ejidos del Bothe" en la localidad de El Bothé, en el municipio de Amealco de Bonfil </t>
  </si>
  <si>
    <t>0005 Altamira (La Bondotita)</t>
  </si>
  <si>
    <t>Red de distribución
Luminarias suburbanas
Acometidas eléctricas</t>
  </si>
  <si>
    <t>Ampliación de la red de distribución de energía eléctrica para beneficiar a la localidad de El Soyatal, en el municipio de Cadereyta de Montes</t>
  </si>
  <si>
    <t>Ampliación de la red de distribución de energía eléctrica para beneficiar a la localidad de La Puerta, en el municipio de Cadereyta de Montes</t>
  </si>
  <si>
    <t>Red de distribución
Luminarias urbanas
Acometidas eléctricas</t>
  </si>
  <si>
    <t>0063 El Membrillo</t>
  </si>
  <si>
    <t>Ampliación de la red de distribución de energía eléctrica para beneficiar a la sección "Loma Blanca" en la localidad de El Membrillo, en el municipio de Cadereyta de Montes</t>
  </si>
  <si>
    <t>0125 Las Viguitas</t>
  </si>
  <si>
    <t>Red de distribución
Acometidas eléctricas
Luminarias suburbanas</t>
  </si>
  <si>
    <t>Construcción de la línea y red de distribución de energía eléctrica para beneficiar a la localidad de El Moral, en el municipio de Peñamiller</t>
  </si>
  <si>
    <t xml:space="preserve">Construcción de la línea y red de distribución de energía eléctrica para beneficiar a la localidad de La Laja, en el municipio de Peñamiller                      </t>
  </si>
  <si>
    <t>Ampliación de la red de distribución de energía eléctrica para beneficiar a la Calle Principal de la localidad de Casa Blanca, en el municipio de Tolimán</t>
  </si>
  <si>
    <t xml:space="preserve">Ampliación de la red de distribución de energía eléctrica en el Barrio "El Rincón" en la localidad de El Terrero, en el municipio de Tolimán </t>
  </si>
  <si>
    <t xml:space="preserve">Red de distribución
Acometidas eléctricas
Lamparas urbanas </t>
  </si>
  <si>
    <t xml:space="preserve">Ampliación de la red de distribución de energía eléctrica para beneficiar al Barrio “La Palma” en la localidad del Bomintzá, en el municipio de Tolimán  </t>
  </si>
  <si>
    <t>Ampliación de la red de distribución de energía eléctrica en calle principal en la localidad de Barrio de Garcia, en el municipio de Tolimán</t>
  </si>
  <si>
    <t>Ampliación de la red de distribución de energía eléctrica en calle principal en la localidad de Barrio de Casas Viejas, en el municipio de Tolimán</t>
  </si>
  <si>
    <r>
      <t xml:space="preserve">Ampliación de la red de distribución de energía eléctrica camino a Sabino de San Ambrosio en la localidad de El Tule, en el municipio de Tolimán
</t>
    </r>
    <r>
      <rPr>
        <sz val="10"/>
        <color indexed="10"/>
        <rFont val="Arial"/>
        <family val="2"/>
      </rPr>
      <t>(RNERI.- Como es el planteamiento)</t>
    </r>
  </si>
  <si>
    <t>0047 San Antonio de la Cal</t>
  </si>
  <si>
    <t xml:space="preserve">Ampliación de la red de distribución de energía eléctrica en calle acceso al río y calle sin nombre en la localidad de San Antonio de la Cal, municipio de Tolimán   </t>
  </si>
  <si>
    <t>Construcción del puente vehicular “Barreras” ubicado en el km 3+800 del camino rural Barreras-Ejido Villa Progreso en el cruce con el Arroyo "El Guaje"</t>
  </si>
  <si>
    <t>Subestructura
Superestructura
Aproches</t>
  </si>
  <si>
    <t>Construcción del camino a base de piedra bola y/o pepena E.C. km 11+330 (Carretera estatal 310)-El Saucito, Tramo a construir: del km 0+000 al km 1+360</t>
  </si>
  <si>
    <t>Las obras complementarias son: demolición de alcantarilla, poda de arbol y muro de contención. Se anexa croquis</t>
  </si>
  <si>
    <t xml:space="preserve">0062 Chitejé de Garabato
0012 El Varal </t>
  </si>
  <si>
    <t>El tramo del 0+829 al 2+113 se encuentra revestido con piedra bola, y esta en buenas condiciones. Las obras complementarias son: demolición de alcantarilla y muro de contención. Se anexa croquis</t>
  </si>
  <si>
    <t>818
306</t>
  </si>
  <si>
    <t>857
293</t>
  </si>
  <si>
    <t>Construcción de camino a base de piedra bola y/o pepena El Lindero-Barrio la Isla (Sgo. Mexq. Barrio 6°)-La Venta (Sgo. Mexq. Barrio 6°), Tramo: del km 0+000 al km 8+395, subtramo a construir: 0+000 al 4+448</t>
  </si>
  <si>
    <t>376
118
55
57
145</t>
  </si>
  <si>
    <t>438
134
47
78
178</t>
  </si>
  <si>
    <t>0022 El Lindero
0089 Los Árboles
0104 Barrio la Isla (Stgo. Mexquititlán B. 6o.)
0106 La Venta (Santiago Mexquititlán Barrio 6o.)
0114 Barrio Presa del Tecolote (El Lindero)</t>
  </si>
  <si>
    <t>Las obras complementarias son: demolición de alcantarilla, poda de arbol y muro de contención. La meta llega a un punto estrategico (comunidad), se anexa croquis</t>
  </si>
  <si>
    <t>0052 La Soledad
0087 Ejido de San Juan Dehedó</t>
  </si>
  <si>
    <r>
      <t>Construcción de camino a base de piedra bola y/o pepena E.C.(Chitejé de la Cruz-</t>
    </r>
    <r>
      <rPr>
        <sz val="10"/>
        <color indexed="10"/>
        <rFont val="Arial"/>
        <family val="2"/>
      </rPr>
      <t>XXXXXXX</t>
    </r>
    <r>
      <rPr>
        <sz val="10"/>
        <rFont val="Arial"/>
        <family val="2"/>
      </rPr>
      <t xml:space="preserve">)-La Soledad-Ejido de San Juan Dehedó, Tramo: del km 0+000 al km 6+140, subtramo a construir: del km 0+000 al 3+640
</t>
    </r>
    <r>
      <rPr>
        <sz val="10"/>
        <color indexed="10"/>
        <rFont val="Arial"/>
        <family val="2"/>
      </rPr>
      <t>(FREYES.- Completa el nombre del camino en don de se ubica el Entronque)</t>
    </r>
  </si>
  <si>
    <t>0026 El Divisadero
0087 Tancoyol
0108 El Rincón</t>
  </si>
  <si>
    <t>34
174
65</t>
  </si>
  <si>
    <t>26
194
55</t>
  </si>
  <si>
    <t>0030 La Esperanza
0060 Valle Verde
0069 Rancho Nuevo
0085 Soledad del Refugio
0095 Zoyapilca
0150 El Saucito
0178 San Isidro
0185 El Cañón</t>
  </si>
  <si>
    <t>Elaboración de los estudios y proyecto ejecutivo para la modernización y ampliación de camino E.C km 6 (Carretera Estatal  La Vuelta-Tancoyol)-Zoyapilca-Soledad del Refugio-El Cañon-Valle Verde-San isidro-El Saucito-La Esperanza-Rancho Nuevo, Tramo estimado: del km 0+000 al km 45+000</t>
  </si>
  <si>
    <t>76
230
51
13
187
34
10
24</t>
  </si>
  <si>
    <t>86
268
52
10
184
33
9
22</t>
  </si>
  <si>
    <t>0049 Mesa del Sauz
0207 El Tepamal</t>
  </si>
  <si>
    <t>65
17</t>
  </si>
  <si>
    <t>59
25</t>
  </si>
  <si>
    <t>Elaboración de los estudios y proyecto ejecutivo para la modernización y ampliación de camino E.C km 17 (Carretera Estatal La Vuelta-Tancoyol)-Mesa del Sauz, Tramo estimado: del km 0+000 al km 8+000</t>
  </si>
  <si>
    <t>0032 Las Flores
0075 San Antonio Tancoyol
0233 Las Nuevas Flores</t>
  </si>
  <si>
    <t>10
126
21</t>
  </si>
  <si>
    <t>10
118
15</t>
  </si>
  <si>
    <t>Elaboración de los estudios y proyecto ejecutivo para la modernización y ampliación de camino Tancoyol-San Antonio Tancoyol, Tramo estimado: del km 0+000 al 12+000</t>
  </si>
  <si>
    <t>0042 Purísima de Arista
0054 San José de las Flores
0056 San Juan Buenaventura</t>
  </si>
  <si>
    <t>878
86
116</t>
  </si>
  <si>
    <t>1159
86
141</t>
  </si>
  <si>
    <t>Elaboración de los estudios y proyecto ejecutivo para la modernización y ampliación de camino Purísima de Arista- San Juan Buenaventura-San José de las Flores, Tramo: San Juan Buenaventura-San José de las Flores del km 12+450 al km 18+500 (aproximadamente)</t>
  </si>
  <si>
    <t>0008 El Alamito
0044 El Pilón
0083 El Motoshí (La Paz)
0084 La Paz
0105 Mentiras
0145 Milpillas</t>
  </si>
  <si>
    <t>13
138
34
15
22
48</t>
  </si>
  <si>
    <t>14
158
35
17
20
47</t>
  </si>
  <si>
    <t>0005 Altamira (La Bondotita)
0031 Chavarrías
0099 San Javier</t>
  </si>
  <si>
    <t>Modernización y ampliación de camino E.C. Km 50+000 (Carretera Federal San Juan del Río-Xilitla)-San Javier-Chavarrías-Altamira (La Bondotita), Tramo: del km 19+000 al km 24+151.18, subtramo a modernizar: del km 19+000 al km 24+151.18</t>
  </si>
  <si>
    <t>117
139
781</t>
  </si>
  <si>
    <t>121
153
911</t>
  </si>
  <si>
    <t xml:space="preserve">Pavimento
Obras complementarias
Señalamiento horizontal y vertical                             </t>
  </si>
  <si>
    <t xml:space="preserve">Terracerias
Obras de drenaje
Pavimento
Obras complementarias
Señalamiento horizontal y vertical                             </t>
  </si>
  <si>
    <r>
      <t xml:space="preserve">Modernización y ampliación de camino E.C. km 35 (Vizarrón-San Joaquín)-Los Juárez, Tramo: del km 0+000 al km 4+061.54, </t>
    </r>
    <r>
      <rPr>
        <sz val="10"/>
        <color indexed="10"/>
        <rFont val="Arial"/>
        <family val="2"/>
      </rPr>
      <t>subtramo a modernizar: del km xx+xxx al km xx+xxx
(FREYES.- Definir el tramo a ejecutar con los 6 mdp, verifica la situación de la obra y los porcentajes de avances físicos alcanzados y por alcanzar)</t>
    </r>
  </si>
  <si>
    <t>TOTAL DE APORTACIONES PARA EL DESARROLLO DE LAS OBRAS</t>
  </si>
  <si>
    <t>U9</t>
  </si>
  <si>
    <t>06</t>
  </si>
  <si>
    <t>TOTAL GENERAL</t>
  </si>
  <si>
    <t>No de obras</t>
  </si>
  <si>
    <t>22/02/00U9/2010</t>
  </si>
  <si>
    <t>XXX</t>
  </si>
  <si>
    <t>Varias</t>
  </si>
  <si>
    <t>Varios</t>
  </si>
  <si>
    <t>CDI (Comisión Nacional para el Desarrollo de los Pueblos Indígenas)</t>
  </si>
  <si>
    <t>Supervisión de obra</t>
  </si>
  <si>
    <t>Servicios de supervisión gerencial</t>
  </si>
  <si>
    <t>Informe</t>
  </si>
  <si>
    <t>Seguimiento y supervisión al proceso constructivo de las obras y el cumplimiento de la normatividad aplicable</t>
  </si>
  <si>
    <t xml:space="preserve">Linea de distribución
Red de distribución
Acometidas eléctricas
Luminarias suburbanas </t>
  </si>
  <si>
    <t xml:space="preserve">ANEXO No. 1 AL ACUERDO DE COORDINACIÓN 2010 QUE CELEBRAN LA COMISIÓN NACIONAL PARA EL DESARROLLO DE LOS PUEBLOS INDIGENAS Y
EL PODER EJECUTIVO DEL ESTADO LIBRE Y SOBERANO DE QUERÉTARO </t>
  </si>
  <si>
    <t>MODALIDAD DE PROYECTOS ESTRÁTEGICOS</t>
  </si>
  <si>
    <t>22/02/0001/2010</t>
  </si>
  <si>
    <t>Construcción de sistema de agua potable, para beneficiar a la localidad Tesquedó (Puerto del Chivato), municipio de Amealco de Bonfil</t>
  </si>
  <si>
    <t>0143 Tesquedó (Puerto del Chivato)</t>
  </si>
  <si>
    <t>Obra de captación
Linea de conducción
Tanque de almacenamiento
Red de distribución
Tomas domiciliarias</t>
  </si>
  <si>
    <t>Esta coonsiderado un tanque de almacenamiento en la parte alta de la localidad, la subestación eléctrica consta de un transformador, linea eléctrica y caseta de controles, el tipo de fuente es un pozo profundo de un sistema existente en funcionamiento que abastece a otras localidades.</t>
  </si>
  <si>
    <t>OBRA NUEVA</t>
  </si>
  <si>
    <t>22/02/0002/2010</t>
  </si>
  <si>
    <t>Ampliación del sistema de agua potable, para beneficiar a las localidades de El Río (Santiago Mexquititlán Barrio 6o.) y El Cacahuate (Stgo. Mexquititlán Barrio 6o.), municipio de Amealco de Bonfil</t>
  </si>
  <si>
    <t xml:space="preserve">0172 El Río (Santiago Mexquititlán Barrio 6o.)
0094 El Cacahuate (Stgo. Mexquititlán Barrio 6o.)          </t>
  </si>
  <si>
    <t>J. Cesar, los demas elementos del sistema estan en buenas condiciones y operando, la fuente de abastecimiento es suficiente para la ampliación, se cuenta con la factibilidad del organismo operador</t>
  </si>
  <si>
    <t>22/02/0003/2010</t>
  </si>
  <si>
    <t>Ampliación del sistema de agua potable, para beneficiar al Barrio "Loma de Shote", en la localidad Stgo. Mexquititlán Barrio 5o. (El Pastoreo), municipio de Amealco de Bonfil</t>
  </si>
  <si>
    <t>0029 Stgo. Mexquititlán Barrio 5o. (El Pastoreo)</t>
  </si>
  <si>
    <t>J. Cesar, los demas elementos del sistema estan en buenas condiciones, la fuente de abastecimiento es suficiente para la ampliación, se cuenta con la factibilidad del organismo operador</t>
  </si>
  <si>
    <t>En 2007, se apoyo la Ampliacion de sistema de agua potable, en la localidad de Santiago Mexquititlan Barrio 5o</t>
  </si>
  <si>
    <t>22/02/0004/2010</t>
  </si>
  <si>
    <t>Ampliación del sistema de agua potable, para beneficiar al Barrio "Paso Ancho", en la localidad de Santiago Mexquititlán Barrio 2o., municipio de Amealco de Bonfil</t>
  </si>
  <si>
    <t>0049 Santiago Mexquititlán Barrio 2o.</t>
  </si>
  <si>
    <t>22/02/0005/2010</t>
  </si>
  <si>
    <t>Ampliación de la red de distribución de energia electrica, para beneficiar a los Barrios  "El Jacal Centro", "La Esperanza", "El Canal", "La Purisima", "Bordo San Aurelio", "El Repartidor", "Pozo 10", "Laguna del Tecolote" y "El Crucero", en la localidad de Loma de las Víboras (S. Mexquititlán B. 6o.), municipio de Amealco de Bonfil</t>
  </si>
  <si>
    <t>0093 Loma de las Víboras (S. Mexquititlán B. 6o.)</t>
  </si>
  <si>
    <t>J. Cesar, considerando que las ampliaciones se ubican en la misma localidad, y con el proposito de ejecutar una sola obra, integramos todos los barrios.</t>
  </si>
  <si>
    <t>En 2008, se apoyo la Ampliación de la red de distribución de energía eléctrica, Barrio "Pozo 9"</t>
  </si>
  <si>
    <t>22/02/0006/2010</t>
  </si>
  <si>
    <t>Ampliacion de la red de distribución de energía eléctrica, para beneficiar a los Barrios "Cerca Blanca", "El Albergue" y "Llano de las Liebres II", en la localidad de Santiago Mexquititlán Barrio 3o., municipio de Amealco de Bonfil</t>
  </si>
  <si>
    <t>J. Cesar, considerando que las ampliaciones se localizan en la misma localidad, y con el proposito de ejecutar una sola obra, integramos todos los barrios.</t>
  </si>
  <si>
    <t>EN 2005, 2008 Y 2009 SE HAN APOYADO TRABAJOS DE AMPLIACIÓN DE LA RED DE DISTRIBUCIÓN DE ENERGÍA ELÉCTRICA EN DIVERSOS BARRIOS DE LA LOCALIDAD, POR UN IMPORTE TOTAL DE 1.54 MDP PARA LA COLOCACIÓN DE 71 POSTES</t>
  </si>
  <si>
    <t>22/02/0007/2010</t>
  </si>
  <si>
    <t>Ampliación de la red de distribución de energia electrica, que beneficia a los Barrios "Piedra Parada" y "Loma de Enmedio Tierra Blanca", municipio de Amealco de Bonfil</t>
  </si>
  <si>
    <t>0029 Santiago Mexquititlán Barrio 5o. (El Pastoreo)</t>
  </si>
  <si>
    <t>EN EL 2004, 2005, 2007 Y 2008 SE HAN APOYADO TRABAJOS DE AMPLIACIÓN DE LA RED DE DISTRIBUCIÓN DE ENERGÍA ELÉCTRICA EN DIVERSOS BARRIOS DE LA LOCALIDAD, POR UN IMPORTE TOTAL DE 3.48 MDP PARA LA COLOCACIÓN DE 120 POSTES</t>
  </si>
  <si>
    <t>22/02/0008/2010</t>
  </si>
  <si>
    <t>Ampliacion de la red de distribución de energia electrica, que beneficia al Barrio "La Vega", en la localidad de Santiago Mexquititlán Barrio 4o., municipio de Amealco de Bonfil</t>
  </si>
  <si>
    <t>0048 Santiago Mexquititlán Barrio 4o.</t>
  </si>
  <si>
    <t>En 2008, se apoyo la Ampliación de la red de distribución de energía eléctrica, en el Barrio "La Cebolla"</t>
  </si>
  <si>
    <t>22/02/0009/2010</t>
  </si>
  <si>
    <t>Ampliación de la red de distribución de energia electrica, que beneficia a los Barrios de "Loma de los Magueyes" y "El Capulín Grande", en la localidad de Santiago Mexquititlán Barrio 2o., en el municipio de Amealco de Bonfil</t>
  </si>
  <si>
    <t>En 2007, se apoyo la Ampliación de la red de distribución de energía eléctrica, Barrio "El Tepetate"</t>
  </si>
  <si>
    <t>22/02/0010/2010</t>
  </si>
  <si>
    <t>Ampliacion de la red de distribución de energia electrica, que beneficia a los Barrios "Piedra Colorada" y "Ndenxi", en la localidad El Bothé, municipio de Amealco de Bonfil</t>
  </si>
  <si>
    <t>EN 2005, 2008 Y 2009 SE HAN APOYADO TRABAJOS DE AMPLIACIÓN DE LA RED DE DISTRIBUCIÓN DE ENERGÍA ELÉCTRICA EN DIVERSOS BARRIOS DE LA LOCALIDAD, POR UN IMPORTE TOTAL DE 3.29 MDP PARA LA COLOCACIÓN DE 113 POSTES</t>
  </si>
  <si>
    <t>22/02/0011/2010</t>
  </si>
  <si>
    <t>Ampliación de la red de distribución de energia electrica, para beneficiar al Barrio "El Rinconcito del Pocito", de la localidad San Ildefonso Tultepec (Centro), municipio de Amealco de Bonfil</t>
  </si>
  <si>
    <t>En 2007, se apoyo la Ampliación de la red de distribución de energía eléctrica Llano Grande, en la localidad de San Ildelfonso Tultepec (Centro)</t>
  </si>
  <si>
    <t>22/02/0002/2009</t>
  </si>
  <si>
    <t>Construcción de camino a base de piedra bola E.C. km 15+100 (Carretera Estatal 310)-El Tepozan-El Bothe-Yosphi-E.C. km 18+400 (Carretera Estatal 330), Tramo: del km 0+000 al  km 7+200, subtramo a construir: del km 1+500 al km 4+500</t>
  </si>
  <si>
    <t xml:space="preserve">0054 El Tepozán (Barrio de San Ildefonso)
0059 El Bothé
0070 Yosphí
0039 San Ildefonso Tultepec Centro </t>
  </si>
  <si>
    <t xml:space="preserve">188
658
490
1385
</t>
  </si>
  <si>
    <t xml:space="preserve">185
670
513
1436
</t>
  </si>
  <si>
    <t>Terracerias
Obras de drenaje
Obras complementarias
Revestimiento (a base de piedra bola)
Señalización vertical</t>
  </si>
  <si>
    <t>En las obras complementarias se incluye muros de contensión, renivelación de pozos de visita, demolición de alcantarilla y limpieza general</t>
  </si>
  <si>
    <t>OBRA DE CONTINUIDAD 2009</t>
  </si>
  <si>
    <t>22/02/0003/2009</t>
  </si>
  <si>
    <t>Construcción de camino a base de piedra bola  Santiago Mexquititlán Barrio 1o-Santiago Mexquititlán Barrio 3o., Tramo: del km 0+000 al km 5+000, subtramo a construir: del km 2+200 al 5+000</t>
  </si>
  <si>
    <t>22/02/0006/2009</t>
  </si>
  <si>
    <t>Construcción de camino a base de piedra bola San Felipe (Santiago Mexquititlán Barrio 6o.)-Barrio La Isla (Stgo. Mexquititlán B. 6o.), Tramo: del km 0+000 al km 2+100, subtramo a construir: del km 0+000 al km 1+900</t>
  </si>
  <si>
    <t>0038 San Felipe (Santiago Mexquititlán Barrio 6o.)
0104 Barrio la Isla (Stgo. Mexquititlán B. 6o.)</t>
  </si>
  <si>
    <t>445
55</t>
  </si>
  <si>
    <t>434
47</t>
  </si>
  <si>
    <t>OBRA DE CONTINUIDAD 2009 (tramo 2009, del km 1+900 al km 2+100)</t>
  </si>
  <si>
    <t>22/02/0004/2009</t>
  </si>
  <si>
    <t>Construcción de camino a base de piedra bola E.C. km 46+300 (Carretera Estatal 300)-Santiago Mexquititlán Barrio 4o., Tramo: del km 0+000 al km 2+539, subtramo a construir: del km 1+419 al km 2+539</t>
  </si>
  <si>
    <t>22/02/0016/2008</t>
  </si>
  <si>
    <t>Construcción de revestimiento de camino a base de piedra bola E.C. km 16+000 (Carretera Estatal 330 San Ildefonso-Aculco)-Mesillas, Tramo: del km 0+000 al km 6+000,  subtramo a construir: del km 2+390 al km 6+000</t>
  </si>
  <si>
    <t>En las obras complementarias se incluye muros de contensión, demolición de alcantarilla y limpieza general</t>
  </si>
  <si>
    <t>22/02/0012/2010</t>
  </si>
  <si>
    <t>Construcción de camino a base de piedra bola y/o de pepena E.C. km 1+500 (San Ildefonso-Xajay)-Tesquedó (Puerto del Chivato), Tramo; del km 0+000 al km  2+500</t>
  </si>
  <si>
    <t>En las obras complementarias se incluye muros de contensión, demolición de alcantarilla y limpieza general.                                             El camino con piedra bola y piedra de pepena es lo mismo, sin embargo en revisiones hechas por el organo estatal de control es que la piedra que regularmente se usa es de pepena (es mas irregular y menos lisa), anexo croquis, puede quedar como construcción de camino a base de piedra bola y/o de pepena</t>
  </si>
  <si>
    <t>22/02/0013/2010</t>
  </si>
  <si>
    <t>Estudios y proyectos</t>
  </si>
  <si>
    <t>Elaboración de los estudios y proyecto ejecutivo para la construcción del sistema de alcantarillado sanitario y Planta de tratamiento, para beneficiar a 12 localidades de la Delegación de San Ildefonso Tultepec, en el municipio de Amealco de Bonfil</t>
  </si>
  <si>
    <t xml:space="preserve">0121 Cuicillo (Barrio de San Ildefonso) 
0059 El Bothé, 
0074 El Rincón de San Ildefonso, 
0054 El Tepozán (Barrio de San Ildefonso), 
0174 Loma de los Blases, 
0025 Mesillas, 
0039 San Ildefonso Tultepec (Centro), 
0053 Tenasdá (Barrio de San Ildefonso), 
0143 Tesquedó (Puerto del Chivato), 
0146 Veinte de Noviembre, 
0148 Xajay, 
0070 Yosphí
</t>
  </si>
  <si>
    <t>146     658     402      188       37        502              1385    187       57       152     212      490</t>
  </si>
  <si>
    <t xml:space="preserve">124     670     410     185       39       582              1436    209       87       164     213     513        </t>
  </si>
  <si>
    <t>Estudios de campo y levantamiento topográfico
Datos para la elaboración del proyecto
Proyecto de red de atarjeas, colectores y emisor
Diseño del sistema de Tratamiento</t>
  </si>
  <si>
    <t>J. Cesar de la revisión hecha con personal de obras del municipio, se egregan todas las localidades que tendra cobertura el sistema de drenaje(es un sismeta similar al anterior de Santiago Mexquititlán)</t>
  </si>
  <si>
    <t>VERIFICAR SÍ ESTA LOCALIDAD NO SE BENEFICIA CON EL SISTEMA "INTEGRAL" QUE LO CONFORMAN 15 LOCALIDADES DEL MUNICIPIO DE AMEALCO DE BONFIL</t>
  </si>
  <si>
    <t>22/02/0014/2010</t>
  </si>
  <si>
    <t>Elaboración de los estudios y proyecto ejecutivo para la modernización y ampliación del camino E.C. km 46+000 (Carretera Estatal 300)-Santiago Mexquititlan Barrio 5o. (El Pastoreo)-Jacal de la Piedad-San Pablo-Tenasdá (Barrio de San Ildefonso) - E.C. Km 18+350 (Carretera Estatal 330); Tramo estimado: del km 0+000 al km 22+000</t>
  </si>
  <si>
    <t>0148 Xajay
0053 Tenasda (Barrio de San Ildefonso)
0039 San Ildefonso Tultepec (Centro)
0045 San Pablo
0029 Santiago Mexquititlán Barrio 5o. (El Pastoreo),
0031 Jacal de la Piedad, 0047 Santiago Mexquititlán Barrio 3o., 0048 Santiago Mexquititlán Barrio 4o.</t>
  </si>
  <si>
    <t>212
187
1385
232
882     135     532      540</t>
  </si>
  <si>
    <t>213
209
1436
252
915     182     573     622</t>
  </si>
  <si>
    <t>Se anexa croquis donde se ilustra que es una obra distinta, la linea azul indica la etapa 2008.</t>
  </si>
  <si>
    <t>22/02/0015/2010</t>
  </si>
  <si>
    <t>Gobierno del Estado (H. Ayuntamiento de Toliman)</t>
  </si>
  <si>
    <t>Ampliación del sistema de alcantarillado sanitario, para beneficiar al Barrio "Los Longos II", en la localidad de Tequesquite (Chalma), municipio de Toliman</t>
  </si>
  <si>
    <t>Otomí de Hidalgo y Querétaro</t>
  </si>
  <si>
    <t>018 Toliman</t>
  </si>
  <si>
    <t>0054 Tequesquite (Chalma)</t>
  </si>
  <si>
    <t xml:space="preserve">J. Cesar, son buenas las condiciones de los demas elementos del sistema, se interconecta a la PTAR de la localidad Casas Viejas tiene capacidad para 8 lts y actualmente atiende 4 litros </t>
  </si>
  <si>
    <t>En 2007 y 2009, se apoyo la Ampliación del sistema de alcantarillado sanitario, Barrio "Longó" en la localidad de Tequesquite (Chalma)</t>
  </si>
  <si>
    <t>22/02/0016/2010</t>
  </si>
  <si>
    <t>Ampliación del sistema de alcantarillado sanitario, para beneficiar al Barrio "Nuevo", en la localidad de El Granjeno, municipio de Toliman</t>
  </si>
  <si>
    <t>0021 EL Granjeno</t>
  </si>
  <si>
    <t>J. Cesar, los demas elementos del sistema estan en buenas condiciones, la PTAR se ubica en la localidad de Casas Viejas, aún es suficiente para recibir agua de esta ampliación</t>
  </si>
  <si>
    <t>En 2008, se apoyo la Ampliación de sistema de Alcantarillado Sanitario (1er Etapa), en las localidades Granjero y El Molino, muncipio de Toliman</t>
  </si>
  <si>
    <t>22/02/0017/2010</t>
  </si>
  <si>
    <t>Ampliación de la red de distribución de energía eléctrica, que beneficia al Barrio "El Nagui II", en la localidad de Son Lucas, municipio de Toliman</t>
  </si>
  <si>
    <t>0018 Don Lucas</t>
  </si>
  <si>
    <t>VERIFICAR LA CLAVE DE LA LOCALIDAD (0018 Don Lucas)
En 2009, se apoyo la Ampliación de la red de distribución de energía eléctrica, Barrios "Los Elias", "El Tepetate", "La Cruz", "El Naguí", en la localidad de Don Lucas</t>
  </si>
  <si>
    <t>22/02/0018/2010</t>
  </si>
  <si>
    <t>Ampliación de la red de distribución de energía eléctrica, que beneficia al Barrio "El Cerrito", en la localidad de Cerrito Parado, municipio de Toliman</t>
  </si>
  <si>
    <t>0012 Cerrito Parado</t>
  </si>
  <si>
    <t>En 2007, se apoyo la Ampliación de red de distribución de energía eléctrica La Cuchara, en la localidad de El Cerrito Parado</t>
  </si>
  <si>
    <t>22/02/0019/2010</t>
  </si>
  <si>
    <t>Ampliación de la red de distribución de energía eléctrica, que beneficia al Barrio "Los Rincones", en la localidad de San Pedro de los Eucaliptos, municipio de Toliman</t>
  </si>
  <si>
    <t>0117 San Pedro de los Eucaliptos</t>
  </si>
  <si>
    <t>En 2005, se apoyo la AMPLIACIÓN DE LÍNEA Y RED DE DISTRIBUCIÓN DE ENERGÍA ELÉCTRICA, EN LA LOCALIDAD SAN PEDRO DE LOS EUCALIPTOS
En 2007, se apoyo la Ampliación de red de distribución de energía eléctrica calle Uricaria y calle s/n
En 2009, se apoyo la Ampliación de la red de distribución de energía eléctrica, Calle el Mezquite, Calle sin nombre (referencia Torre de Telmex), Av. Los Pinos</t>
  </si>
  <si>
    <t>22/02/0020/2010</t>
  </si>
  <si>
    <t>Gobierno del Estado (H. Ayuntamiento de Cadereyta De Montes)</t>
  </si>
  <si>
    <t>Ampliación de red de distribución de energía eléctrica, que beneficia al Barrio "Mesa de San Ramón", en la localidad de Sombrerete, municipio de Cadereyta de Montes</t>
  </si>
  <si>
    <t>004 Cadereyta De Montes</t>
  </si>
  <si>
    <t>0111 Sombrerete</t>
  </si>
  <si>
    <t>En 2007, se apoyo la Ampliación de la red de distribución de energía eléctrica, Barrios "La Barranca", "El Panteón" y "Camino Real", en la localidad de Sombrerete</t>
  </si>
  <si>
    <t>TOTAL  DE APORTACIONES PARA EL DESARROLLO DE OBRA</t>
  </si>
  <si>
    <t>No. DE OBRAS Y ACCIONES</t>
  </si>
  <si>
    <t>CDI (Comisión Nacional para el Desarrollo de los Pueblos Indigenas)</t>
  </si>
  <si>
    <t>Supervisión de Obra</t>
  </si>
  <si>
    <t>Servicios de Supervisión Gerencial de Obras</t>
  </si>
  <si>
    <t>Seguimiento y supervisión al proceso constructivo de las obras y al cumplimiento de la normatividad aplicable</t>
  </si>
  <si>
    <t>G R A N      T O T A L</t>
  </si>
  <si>
    <t>Estado</t>
  </si>
  <si>
    <t>Sólo en caso de existir recursos por parte de los municipios, se incluye la siguiente aportación</t>
  </si>
  <si>
    <t>Aportación de los Municipios</t>
  </si>
  <si>
    <t>de la aportación del Estado</t>
  </si>
  <si>
    <t>Modernización y ampliación del camino con pavimento asfáltico E.C. km 50+000 (Carretera Estatal 300)-Santiago Mexquititlán Barrio 2o., Tramo: del km 0+000 al km 2+346
(FREYES.- Conforme al anexo técnico de autorización del ejercicio 2006, el tramo del km 0+000 al km 2+600 fue mejorado con carpeta de concreto asfaltico en el año 2000 ejecutado con recursos estatales por la Comisión Estatal de Caminos. Se especifica que el camino cuenta con un ancho de corona de 7.00 m con un pavimento de un riego. Durante el 2006 se reencarpeto y se coloco señalamiento horizontal)
POR LO ANTERIOR y conforme a lo establecido en las Reglas de Operación del PIBAI, se considera que los trabajos planteados en esta propuesta se trata de acciones de rehabilitación y/o conservación)</t>
  </si>
  <si>
    <t>700</t>
  </si>
  <si>
    <t>725</t>
  </si>
  <si>
    <t>Terracerias
Obras de drenaje
Pavimento
Señalización horizontal y vertical</t>
  </si>
  <si>
    <t xml:space="preserve">se trata del mismo camino (de continuidad) efectivamente el subtramo que se propone quedo pendiente de modernizar, solo que existe una diferencia en el cadenamiento que se ilustra en croquis  </t>
  </si>
  <si>
    <t>22/02/0034/2010</t>
  </si>
  <si>
    <t xml:space="preserve">SD </t>
  </si>
  <si>
    <t>Construccion de sanitarios dignos</t>
  </si>
  <si>
    <t xml:space="preserve">004 Cadereyta de Montes </t>
  </si>
  <si>
    <t>Letrina</t>
  </si>
  <si>
    <t>Construccion y montaje de caseta sanitaria, suministro y colocacion de wc y lavabo, suministro y colocacion de biodigestor y tinaco.</t>
  </si>
  <si>
    <t>OBRA NUEVA, Verificar sí el tipo de obra se puede apoyar con recursos del PIBAI</t>
  </si>
  <si>
    <t>22/02/0035/2010</t>
  </si>
  <si>
    <t>22/02/0036/2010</t>
  </si>
  <si>
    <t>22/02/0037/2010</t>
  </si>
  <si>
    <t>22/02/0038/2010</t>
  </si>
  <si>
    <t>INFORME</t>
  </si>
  <si>
    <t>15015146 GOBIERNO DEL ESTADO (DIERECCIÓN GENERAL DE ELECTRIFICACIÓN)</t>
  </si>
  <si>
    <t>SG ELECTRIFICACIÓN</t>
  </si>
  <si>
    <t>POSTE</t>
  </si>
  <si>
    <t>S/N</t>
  </si>
  <si>
    <t>1501 COMISION NACIONAL PARA EL DESARROLLO DE LOS PUEBLOS INDIGENAS DELEGACION ESTADO DE MEXICO</t>
  </si>
  <si>
    <t>U9 DEFINICION Y CONDUCCION DE LA PLANEACION DEL DESARROLLO REGIONAL</t>
  </si>
  <si>
    <t>SUPERVISION DE OBRAS</t>
  </si>
  <si>
    <t>VARIOS MUNICIPIOS</t>
  </si>
  <si>
    <t>VARIAS LOCALIDADES</t>
  </si>
  <si>
    <t>RURAL
b) AMPLIACIÓN</t>
  </si>
  <si>
    <t>al 31/12/2011</t>
  </si>
  <si>
    <t>Por realizar en 2011</t>
  </si>
  <si>
    <t>063 OCUILAN</t>
  </si>
  <si>
    <t>SIN REGION</t>
  </si>
  <si>
    <t>AMPLIACION DE LA RED DE ENERGIA ELECTRICA EN LA LOCALIDAD DE SAN JUAN ATZINGO</t>
  </si>
  <si>
    <t>INFORME QUINCENAL POR OBRA</t>
  </si>
  <si>
    <t>0019 SAN JUAN ATZINGO
0046 LOMAS DE TEOCALCINGO</t>
  </si>
  <si>
    <t>15/02/0005/2010</t>
  </si>
  <si>
    <t>SUPERVISION GERENCIAL DE OBRAS</t>
  </si>
  <si>
    <r>
      <t xml:space="preserve">1.-LINEA DE CONDUCCION EN MEDIA TENSION
2.-RED DE DISTRIBUCION EN BAJA TENSION
3.-ACOMETIDAS DOMICILIARIAS
</t>
    </r>
    <r>
      <rPr>
        <b/>
        <sz val="8"/>
        <rFont val="Arial"/>
        <family val="2"/>
      </rPr>
      <t>NOTA</t>
    </r>
    <r>
      <rPr>
        <sz val="8"/>
        <rFont val="Arial"/>
        <family val="2"/>
      </rPr>
      <t>: EL PROYECTO CAMBIO DE UN TOTAL DE 100 POSTES A 110 POSTES. DEBIDO A QUE SE CONSIDERARON MAS BENEFICIARIOS A LOS ORIGINALMENTE PROYECTADOS.</t>
    </r>
  </si>
  <si>
    <t>TOTAL DE APORTACIÓN PARA SUPERVISIÓN</t>
  </si>
  <si>
    <t>TOTAL DEL ANEXO</t>
  </si>
  <si>
    <t>No. DE OBRAS</t>
  </si>
  <si>
    <t>“Este programa es público, ajeno a cualquier partido político. Queda prohibido el uso para fines distintos a los establecidos en el programa”.</t>
  </si>
  <si>
    <t>ANEXO No. 1 DEL ACUERDO DE COORDINACIÓN 2011 QUE CELEBRAN LA COMISIÓN NACIONAL PARA EL DESARROLLO DE LOS PUEBLOS INDIGENAS Y
EL PODER EJECUTIVO DEL ESTADO LIBRE Y SOBERANO DE MÉXICO, EN LA MODALIDAD DE PROYECTOS ESTRATÉGICOS.</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</si>
</sst>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80A]#,##0.00"/>
    <numFmt numFmtId="166" formatCode="00"/>
    <numFmt numFmtId="167" formatCode="&quot;$&quot;#,##0.00"/>
    <numFmt numFmtId="168" formatCode="0.000"/>
    <numFmt numFmtId="169" formatCode="_-&quot;$&quot;* #,##0.00_-;\-&quot;$&quot;* #,##0.00_-;_-&quot;$&quot;* &quot;-&quot;_-;_-@_-"/>
    <numFmt numFmtId="170" formatCode="0.00000%"/>
    <numFmt numFmtId="171" formatCode="_-[$$-80A]* #,##0.00_-;\-[$$-80A]* #,##0.00_-;_-[$$-80A]* &quot;-&quot;??_-;_-@_-"/>
    <numFmt numFmtId="172" formatCode="0.000000%"/>
    <numFmt numFmtId="173" formatCode="&quot;15/02/&quot;000#&quot;/2009&quot;"/>
    <numFmt numFmtId="174" formatCode="&quot;15/01/&quot;000#&quot;/2010&quot;"/>
    <numFmt numFmtId="175" formatCode="&quot;15/02/&quot;000#&quot;/2010&quot;"/>
    <numFmt numFmtId="176" formatCode="_-* #,##0.00\ &quot;€&quot;_-;\-* #,##0.00\ &quot;€&quot;_-;_-* &quot;-&quot;??\ &quot;€&quot;_-;_-@_-"/>
    <numFmt numFmtId="177" formatCode="&quot;Sí&quot;;&quot;Sí&quot;;&quot;No&quot;"/>
    <numFmt numFmtId="178" formatCode="&quot;Verdadero&quot;;&quot;Verdadero&quot;;&quot;Falso&quot;"/>
    <numFmt numFmtId="179" formatCode="&quot;Activado&quot;;&quot;Activado&quot;;&quot;Desactivado&quot;"/>
    <numFmt numFmtId="180" formatCode="[$€-2]\ #,##0.00_);[Red]\([$€-2]\ #,##0.00\)"/>
    <numFmt numFmtId="181" formatCode="#,##0.0000"/>
    <numFmt numFmtId="182" formatCode="#,##0.0"/>
  </numFmts>
  <fonts count="63">
    <font>
      <sz val="10"/>
      <name val="Arial"/>
      <family val="0"/>
    </font>
    <font>
      <sz val="11"/>
      <color indexed="8"/>
      <name val="Calibri"/>
      <family val="2"/>
    </font>
    <font>
      <sz val="8"/>
      <name val="Arial"/>
      <family val="2"/>
    </font>
    <font>
      <b/>
      <sz val="8"/>
      <name val="Arial"/>
      <family val="2"/>
    </font>
    <font>
      <b/>
      <sz val="12"/>
      <name val="Arial"/>
      <family val="2"/>
    </font>
    <font>
      <b/>
      <sz val="14"/>
      <name val="Arial"/>
      <family val="2"/>
    </font>
    <font>
      <sz val="10"/>
      <color indexed="10"/>
      <name val="Arial"/>
      <family val="2"/>
    </font>
    <font>
      <sz val="8"/>
      <name val="Tahoma"/>
      <family val="2"/>
    </font>
    <font>
      <b/>
      <sz val="8"/>
      <name val="Tahoma"/>
      <family val="2"/>
    </font>
    <font>
      <sz val="10"/>
      <name val="Arial Narrow"/>
      <family val="2"/>
    </font>
    <font>
      <sz val="10"/>
      <name val="Calibri"/>
      <family val="2"/>
    </font>
    <font>
      <b/>
      <sz val="10"/>
      <name val="Arial"/>
      <family val="2"/>
    </font>
    <font>
      <sz val="10"/>
      <color indexed="18"/>
      <name val="Arial"/>
      <family val="2"/>
    </font>
    <font>
      <sz val="11"/>
      <name val="Calibri"/>
      <family val="2"/>
    </font>
    <font>
      <sz val="9"/>
      <name val="Arial"/>
      <family val="2"/>
    </font>
    <font>
      <sz val="7"/>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9"/>
      <name val="Arial"/>
      <family val="2"/>
    </font>
    <font>
      <b/>
      <sz val="10"/>
      <color indexed="18"/>
      <name val="Arial"/>
      <family val="2"/>
    </font>
    <font>
      <b/>
      <sz val="10"/>
      <color indexed="10"/>
      <name val="Arial"/>
      <family val="2"/>
    </font>
    <font>
      <b/>
      <sz val="8"/>
      <color indexed="10"/>
      <name val="Arial"/>
      <family val="2"/>
    </font>
    <font>
      <sz val="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FF0000"/>
      <name val="Arial"/>
      <family val="2"/>
    </font>
    <font>
      <sz val="10"/>
      <color theme="0"/>
      <name val="Arial"/>
      <family val="2"/>
    </font>
    <font>
      <b/>
      <sz val="10"/>
      <color theme="3" tint="-0.24997000396251678"/>
      <name val="Arial"/>
      <family val="2"/>
    </font>
    <font>
      <b/>
      <sz val="10"/>
      <color rgb="FFFF0000"/>
      <name val="Arial"/>
      <family val="2"/>
    </font>
    <font>
      <b/>
      <sz val="8"/>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62"/>
        <bgColor indexed="64"/>
      </patternFill>
    </fill>
    <fill>
      <patternFill patternType="solid">
        <fgColor rgb="FFFFFF00"/>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top style="thin"/>
      <bottom/>
    </border>
    <border>
      <left style="thin"/>
      <right style="thin"/>
      <top/>
      <bottom/>
    </border>
    <border>
      <left style="thin"/>
      <right style="thin"/>
      <top style="hair"/>
      <bottom style="hair"/>
    </border>
    <border>
      <left style="thin"/>
      <right style="thin"/>
      <top/>
      <bottom style="hair"/>
    </border>
    <border>
      <left style="thin"/>
      <right style="thin"/>
      <top style="thin"/>
      <bottom style="hair"/>
    </border>
    <border>
      <left style="thin"/>
      <right style="thin"/>
      <top style="thin"/>
      <bottom style="thin"/>
    </border>
    <border>
      <left/>
      <right style="thin">
        <color indexed="8"/>
      </right>
      <top style="thin"/>
      <bottom style="thin"/>
    </border>
    <border>
      <left style="thin">
        <color indexed="8"/>
      </left>
      <right style="thin">
        <color indexed="8"/>
      </right>
      <top style="thin"/>
      <bottom style="thin"/>
    </border>
    <border>
      <left style="thin">
        <color indexed="8"/>
      </left>
      <right style="thin"/>
      <top style="thin"/>
      <bottom style="thin"/>
    </border>
    <border>
      <left style="thin"/>
      <right style="thin"/>
      <top style="hair"/>
      <bottom style="thin"/>
    </border>
    <border>
      <left style="thin"/>
      <right style="thin"/>
      <top/>
      <bottom style="thin"/>
    </border>
    <border>
      <left style="thin"/>
      <right/>
      <top/>
      <bottom style="thin"/>
    </border>
    <border>
      <left/>
      <right/>
      <top/>
      <bottom style="thin"/>
    </border>
    <border>
      <left/>
      <right style="thin"/>
      <top/>
      <bottom style="thin"/>
    </border>
    <border>
      <left/>
      <right/>
      <top style="hair"/>
      <bottom style="hair"/>
    </border>
    <border>
      <left/>
      <right/>
      <top style="thin"/>
      <bottom/>
    </border>
    <border>
      <left/>
      <right style="thin"/>
      <top style="thin"/>
      <bottom/>
    </border>
    <border>
      <left style="thin">
        <color indexed="8"/>
      </left>
      <right/>
      <top style="thin"/>
      <bottom style="thin"/>
    </border>
    <border>
      <left style="thin"/>
      <right/>
      <top/>
      <bottom/>
    </border>
    <border>
      <left style="medium"/>
      <right/>
      <top style="thin"/>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1" fillId="21" borderId="5"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45" fillId="0" borderId="8" applyNumberFormat="0" applyFill="0" applyAlignment="0" applyProtection="0"/>
    <xf numFmtId="0" fontId="57" fillId="0" borderId="9" applyNumberFormat="0" applyFill="0" applyAlignment="0" applyProtection="0"/>
  </cellStyleXfs>
  <cellXfs count="425">
    <xf numFmtId="0" fontId="0" fillId="0" borderId="0" xfId="0" applyAlignment="1">
      <alignment/>
    </xf>
    <xf numFmtId="0" fontId="4" fillId="0" borderId="0" xfId="0" applyFont="1" applyFill="1" applyAlignment="1">
      <alignment horizontal="center" vertical="top" wrapText="1" shrinkToFit="1"/>
    </xf>
    <xf numFmtId="0" fontId="4" fillId="0" borderId="0" xfId="0" applyFont="1" applyFill="1" applyAlignment="1">
      <alignment vertical="top" wrapText="1" shrinkToFit="1"/>
    </xf>
    <xf numFmtId="0" fontId="2" fillId="0" borderId="0" xfId="0" applyFont="1" applyFill="1" applyAlignment="1">
      <alignment horizontal="center" vertical="top"/>
    </xf>
    <xf numFmtId="0" fontId="2" fillId="0" borderId="0" xfId="0" applyFont="1" applyFill="1" applyAlignment="1">
      <alignment/>
    </xf>
    <xf numFmtId="0" fontId="2" fillId="0" borderId="0" xfId="0" applyFont="1" applyFill="1" applyAlignment="1">
      <alignment horizontal="center"/>
    </xf>
    <xf numFmtId="4" fontId="2" fillId="0" borderId="0" xfId="0" applyNumberFormat="1" applyFont="1" applyFill="1" applyAlignment="1">
      <alignment/>
    </xf>
    <xf numFmtId="165" fontId="2" fillId="0" borderId="0" xfId="0" applyNumberFormat="1" applyFont="1" applyFill="1" applyAlignment="1">
      <alignment/>
    </xf>
    <xf numFmtId="0" fontId="2" fillId="0" borderId="0" xfId="0" applyFont="1" applyAlignment="1">
      <alignment vertical="top" wrapText="1"/>
    </xf>
    <xf numFmtId="0" fontId="3" fillId="0" borderId="0" xfId="0" applyFont="1" applyAlignment="1">
      <alignment horizontal="center" vertical="top" wrapText="1"/>
    </xf>
    <xf numFmtId="0" fontId="2" fillId="0" borderId="0" xfId="0" applyFont="1" applyAlignment="1">
      <alignment vertical="top"/>
    </xf>
    <xf numFmtId="0" fontId="2" fillId="0" borderId="0" xfId="0" applyFont="1" applyAlignment="1">
      <alignment horizontal="right" vertical="top"/>
    </xf>
    <xf numFmtId="0" fontId="2" fillId="0" borderId="0" xfId="0" applyFont="1" applyAlignment="1">
      <alignment horizontal="left" vertical="top" textRotation="90" wrapText="1"/>
    </xf>
    <xf numFmtId="0" fontId="2" fillId="0" borderId="0" xfId="0" applyFont="1" applyAlignment="1">
      <alignment horizontal="left" vertical="top" textRotation="90"/>
    </xf>
    <xf numFmtId="0" fontId="2" fillId="0" borderId="0" xfId="0" applyFont="1" applyAlignment="1">
      <alignment horizontal="left" textRotation="90" wrapText="1"/>
    </xf>
    <xf numFmtId="0" fontId="2" fillId="33" borderId="0" xfId="0" applyFont="1" applyFill="1" applyAlignment="1">
      <alignment horizontal="left" vertical="top" textRotation="90" wrapText="1"/>
    </xf>
    <xf numFmtId="0" fontId="2" fillId="33" borderId="0" xfId="0" applyFont="1" applyFill="1" applyAlignment="1">
      <alignment vertical="top" wrapText="1"/>
    </xf>
    <xf numFmtId="0" fontId="2" fillId="34" borderId="10" xfId="0" applyFont="1" applyFill="1" applyBorder="1" applyAlignment="1">
      <alignment vertical="top" wrapText="1"/>
    </xf>
    <xf numFmtId="0" fontId="2" fillId="34" borderId="11" xfId="0" applyFont="1" applyFill="1" applyBorder="1" applyAlignment="1">
      <alignment vertical="top" wrapText="1"/>
    </xf>
    <xf numFmtId="0" fontId="2" fillId="34" borderId="12" xfId="0" applyFont="1" applyFill="1" applyBorder="1" applyAlignment="1">
      <alignment vertical="top" wrapText="1"/>
    </xf>
    <xf numFmtId="0" fontId="2" fillId="34" borderId="10" xfId="0" applyFont="1" applyFill="1" applyBorder="1" applyAlignment="1">
      <alignment horizontal="left" vertical="top" textRotation="90" wrapText="1"/>
    </xf>
    <xf numFmtId="0" fontId="2" fillId="34" borderId="11" xfId="0" applyFont="1" applyFill="1" applyBorder="1" applyAlignment="1">
      <alignment horizontal="left" vertical="top" textRotation="90" wrapText="1"/>
    </xf>
    <xf numFmtId="0" fontId="2" fillId="34" borderId="12" xfId="0" applyFont="1" applyFill="1" applyBorder="1" applyAlignment="1">
      <alignment horizontal="left" vertical="top" textRotation="90" wrapText="1"/>
    </xf>
    <xf numFmtId="0" fontId="4" fillId="0" borderId="0" xfId="0" applyFont="1" applyFill="1" applyAlignment="1">
      <alignment horizontal="center" vertical="center" wrapText="1" shrinkToFit="1"/>
    </xf>
    <xf numFmtId="0" fontId="4" fillId="0" borderId="0" xfId="0" applyFont="1" applyFill="1" applyAlignment="1">
      <alignment vertical="center" wrapText="1" shrinkToFit="1"/>
    </xf>
    <xf numFmtId="0" fontId="0" fillId="0" borderId="0" xfId="0" applyFont="1" applyFill="1" applyBorder="1" applyAlignment="1">
      <alignment horizontal="center" vertical="center" wrapText="1"/>
    </xf>
    <xf numFmtId="0" fontId="0" fillId="0" borderId="0" xfId="0" applyFont="1" applyFill="1" applyBorder="1" applyAlignment="1">
      <alignment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15" xfId="0" applyFont="1" applyFill="1" applyBorder="1" applyAlignment="1">
      <alignment horizontal="center" vertical="center" wrapText="1"/>
    </xf>
    <xf numFmtId="0" fontId="3" fillId="0" borderId="13" xfId="0" applyFont="1" applyFill="1" applyBorder="1" applyAlignment="1">
      <alignment horizontal="center" wrapText="1"/>
    </xf>
    <xf numFmtId="0" fontId="3" fillId="0" borderId="0" xfId="0" applyFont="1" applyFill="1" applyAlignment="1">
      <alignment horizontal="center" vertical="center" wrapText="1"/>
    </xf>
    <xf numFmtId="0" fontId="2" fillId="0" borderId="0" xfId="0" applyFont="1" applyFill="1" applyAlignment="1">
      <alignment horizontal="center" vertical="center"/>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6" xfId="55" applyFont="1" applyFill="1" applyBorder="1" applyAlignment="1">
      <alignment horizontal="center" vertical="top" wrapText="1"/>
      <protection/>
    </xf>
    <xf numFmtId="0" fontId="3"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165" fontId="0" fillId="0" borderId="13" xfId="0" applyNumberFormat="1" applyFont="1" applyFill="1" applyBorder="1" applyAlignment="1">
      <alignment horizontal="center" vertical="center"/>
    </xf>
    <xf numFmtId="10" fontId="0" fillId="0" borderId="13" xfId="0" applyNumberFormat="1" applyFont="1" applyFill="1" applyBorder="1" applyAlignment="1">
      <alignment horizontal="center" vertical="center" wrapText="1"/>
    </xf>
    <xf numFmtId="3" fontId="0" fillId="0" borderId="13" xfId="0" applyNumberFormat="1" applyFont="1" applyFill="1" applyBorder="1" applyAlignment="1">
      <alignment horizontal="center" vertical="center" wrapText="1"/>
    </xf>
    <xf numFmtId="1" fontId="0" fillId="0" borderId="13" xfId="0" applyNumberFormat="1" applyFont="1" applyFill="1" applyBorder="1" applyAlignment="1">
      <alignment horizontal="center" vertical="center" wrapText="1"/>
    </xf>
    <xf numFmtId="166" fontId="0" fillId="0" borderId="16" xfId="0" applyNumberFormat="1" applyFont="1" applyFill="1" applyBorder="1" applyAlignment="1">
      <alignment horizontal="center" vertical="center"/>
    </xf>
    <xf numFmtId="0" fontId="0" fillId="0" borderId="18" xfId="0" applyFont="1" applyFill="1" applyBorder="1" applyAlignment="1">
      <alignment horizontal="center" vertical="center" wrapText="1"/>
    </xf>
    <xf numFmtId="164" fontId="0" fillId="0" borderId="13" xfId="0" applyNumberFormat="1" applyFont="1" applyFill="1" applyBorder="1" applyAlignment="1">
      <alignment horizontal="center" vertical="center"/>
    </xf>
    <xf numFmtId="0" fontId="0" fillId="0" borderId="0" xfId="0" applyFont="1" applyFill="1" applyBorder="1" applyAlignment="1">
      <alignment vertical="top" wrapText="1"/>
    </xf>
    <xf numFmtId="0" fontId="0" fillId="0" borderId="0" xfId="55" applyFont="1" applyFill="1" applyAlignment="1">
      <alignment vertical="top" wrapText="1"/>
      <protection/>
    </xf>
    <xf numFmtId="0" fontId="4" fillId="0" borderId="0" xfId="0" applyFont="1" applyFill="1" applyBorder="1" applyAlignment="1">
      <alignment vertical="top" wrapText="1" shrinkToFit="1"/>
    </xf>
    <xf numFmtId="0" fontId="4" fillId="0" borderId="0" xfId="0" applyFont="1" applyFill="1" applyBorder="1" applyAlignment="1">
      <alignment vertical="center" wrapText="1" shrinkToFit="1"/>
    </xf>
    <xf numFmtId="0" fontId="2" fillId="0" borderId="0" xfId="0" applyFont="1" applyFill="1" applyBorder="1" applyAlignment="1">
      <alignment/>
    </xf>
    <xf numFmtId="0" fontId="0" fillId="0" borderId="0" xfId="55" applyFont="1" applyFill="1" applyBorder="1" applyAlignment="1">
      <alignment vertical="top" wrapText="1"/>
      <protection/>
    </xf>
    <xf numFmtId="0" fontId="0" fillId="0" borderId="0" xfId="55" applyFont="1" applyFill="1" applyAlignment="1">
      <alignment horizontal="center" vertical="top" wrapText="1"/>
      <protection/>
    </xf>
    <xf numFmtId="4" fontId="0" fillId="0" borderId="0" xfId="0" applyNumberFormat="1" applyFont="1" applyFill="1" applyBorder="1" applyAlignment="1">
      <alignment vertical="top" wrapText="1"/>
    </xf>
    <xf numFmtId="0" fontId="0" fillId="35" borderId="16" xfId="55" applyFont="1" applyFill="1" applyBorder="1" applyAlignment="1">
      <alignment horizontal="center" vertical="top" wrapText="1"/>
      <protection/>
    </xf>
    <xf numFmtId="0" fontId="0" fillId="35" borderId="0" xfId="55" applyFont="1" applyFill="1" applyAlignment="1">
      <alignment vertical="top" wrapText="1"/>
      <protection/>
    </xf>
    <xf numFmtId="4" fontId="0" fillId="35" borderId="0" xfId="0" applyNumberFormat="1" applyFont="1" applyFill="1" applyBorder="1" applyAlignment="1">
      <alignment vertical="top" wrapText="1"/>
    </xf>
    <xf numFmtId="0" fontId="58" fillId="35" borderId="0" xfId="0" applyFont="1" applyFill="1" applyBorder="1" applyAlignment="1">
      <alignment vertical="top" wrapText="1"/>
    </xf>
    <xf numFmtId="0" fontId="0" fillId="35" borderId="0" xfId="0" applyFont="1" applyFill="1" applyBorder="1" applyAlignment="1">
      <alignment vertical="top" wrapText="1"/>
    </xf>
    <xf numFmtId="1" fontId="0" fillId="35" borderId="16" xfId="55" applyNumberFormat="1" applyFont="1" applyFill="1" applyBorder="1" applyAlignment="1" quotePrefix="1">
      <alignment horizontal="center" vertical="top" wrapText="1"/>
      <protection/>
    </xf>
    <xf numFmtId="0" fontId="58" fillId="35" borderId="16" xfId="55" applyFont="1" applyFill="1" applyBorder="1" applyAlignment="1">
      <alignment horizontal="center" vertical="top" wrapText="1"/>
      <protection/>
    </xf>
    <xf numFmtId="49" fontId="0" fillId="35" borderId="16" xfId="55" applyNumberFormat="1" applyFont="1" applyFill="1" applyBorder="1" applyAlignment="1">
      <alignment horizontal="center" vertical="top" wrapText="1"/>
      <protection/>
    </xf>
    <xf numFmtId="169" fontId="0" fillId="35" borderId="16" xfId="53" applyNumberFormat="1" applyFont="1" applyFill="1" applyBorder="1" applyAlignment="1">
      <alignment horizontal="center" vertical="top" wrapText="1"/>
    </xf>
    <xf numFmtId="168" fontId="0" fillId="35" borderId="16" xfId="55" applyNumberFormat="1" applyFont="1" applyFill="1" applyBorder="1" applyAlignment="1">
      <alignment horizontal="center" vertical="top" wrapText="1"/>
      <protection/>
    </xf>
    <xf numFmtId="10" fontId="0" fillId="35" borderId="16" xfId="60" applyNumberFormat="1" applyFont="1" applyFill="1" applyBorder="1" applyAlignment="1">
      <alignment horizontal="center" vertical="top" wrapText="1"/>
    </xf>
    <xf numFmtId="9" fontId="0" fillId="35" borderId="16" xfId="60" applyNumberFormat="1" applyFont="1" applyFill="1" applyBorder="1" applyAlignment="1">
      <alignment horizontal="center" vertical="top" wrapText="1"/>
    </xf>
    <xf numFmtId="9" fontId="0" fillId="35" borderId="16" xfId="55" applyNumberFormat="1" applyFont="1" applyFill="1" applyBorder="1" applyAlignment="1">
      <alignment horizontal="center" vertical="top" wrapText="1"/>
      <protection/>
    </xf>
    <xf numFmtId="3" fontId="58" fillId="35" borderId="16" xfId="55" applyNumberFormat="1" applyFont="1" applyFill="1" applyBorder="1" applyAlignment="1">
      <alignment horizontal="center" vertical="top" wrapText="1"/>
      <protection/>
    </xf>
    <xf numFmtId="0" fontId="0" fillId="35" borderId="0" xfId="55" applyFont="1" applyFill="1" applyBorder="1" applyAlignment="1">
      <alignment vertical="top" wrapText="1"/>
      <protection/>
    </xf>
    <xf numFmtId="3" fontId="0" fillId="35" borderId="16" xfId="55" applyNumberFormat="1" applyFont="1" applyFill="1" applyBorder="1" applyAlignment="1">
      <alignment horizontal="center" vertical="top" wrapText="1"/>
      <protection/>
    </xf>
    <xf numFmtId="49" fontId="58" fillId="35" borderId="16" xfId="55" applyNumberFormat="1" applyFont="1" applyFill="1" applyBorder="1" applyAlignment="1">
      <alignment horizontal="center" vertical="top" wrapText="1"/>
      <protection/>
    </xf>
    <xf numFmtId="0" fontId="0" fillId="10" borderId="16" xfId="55" applyFont="1" applyFill="1" applyBorder="1" applyAlignment="1">
      <alignment horizontal="center" vertical="top" wrapText="1"/>
      <protection/>
    </xf>
    <xf numFmtId="0" fontId="0" fillId="35" borderId="16" xfId="0" applyFont="1" applyFill="1" applyBorder="1" applyAlignment="1">
      <alignment horizontal="center" vertical="top" wrapText="1"/>
    </xf>
    <xf numFmtId="167" fontId="11" fillId="0" borderId="19" xfId="0" applyNumberFormat="1" applyFont="1" applyFill="1" applyBorder="1" applyAlignment="1">
      <alignment horizontal="center" vertical="center" wrapText="1"/>
    </xf>
    <xf numFmtId="4" fontId="0" fillId="0" borderId="19" xfId="0" applyNumberFormat="1" applyFont="1" applyFill="1" applyBorder="1" applyAlignment="1">
      <alignment vertical="center" wrapText="1"/>
    </xf>
    <xf numFmtId="3" fontId="11" fillId="0" borderId="19" xfId="0" applyNumberFormat="1" applyFont="1" applyFill="1" applyBorder="1" applyAlignment="1">
      <alignment horizontal="center" vertical="center" wrapText="1"/>
    </xf>
    <xf numFmtId="4" fontId="0" fillId="0" borderId="19" xfId="0" applyNumberFormat="1" applyFont="1" applyFill="1" applyBorder="1" applyAlignment="1">
      <alignment horizontal="center" vertical="center" wrapText="1"/>
    </xf>
    <xf numFmtId="0" fontId="0" fillId="0" borderId="19" xfId="0" applyFont="1" applyFill="1" applyBorder="1" applyAlignment="1">
      <alignment horizontal="center" vertical="top" wrapText="1"/>
    </xf>
    <xf numFmtId="49" fontId="0" fillId="0" borderId="19" xfId="0" applyNumberFormat="1" applyFont="1" applyFill="1" applyBorder="1" applyAlignment="1">
      <alignment horizontal="center" vertical="top" wrapText="1"/>
    </xf>
    <xf numFmtId="0" fontId="0" fillId="0" borderId="19" xfId="57" applyNumberFormat="1" applyFont="1" applyFill="1" applyBorder="1" applyAlignment="1">
      <alignment horizontal="center" vertical="top" wrapText="1"/>
      <protection/>
    </xf>
    <xf numFmtId="4" fontId="0" fillId="0" borderId="19" xfId="0" applyNumberFormat="1" applyFont="1" applyFill="1" applyBorder="1" applyAlignment="1">
      <alignment horizontal="center" vertical="top" wrapText="1"/>
    </xf>
    <xf numFmtId="4" fontId="0" fillId="0" borderId="19" xfId="0" applyNumberFormat="1" applyFont="1" applyFill="1" applyBorder="1" applyAlignment="1">
      <alignment horizontal="right" vertical="top" wrapText="1"/>
    </xf>
    <xf numFmtId="164" fontId="0" fillId="0" borderId="19" xfId="0" applyNumberFormat="1" applyFont="1" applyFill="1" applyBorder="1" applyAlignment="1">
      <alignment horizontal="center" vertical="top" wrapText="1"/>
    </xf>
    <xf numFmtId="10" fontId="0" fillId="0" borderId="19" xfId="0" applyNumberFormat="1" applyFont="1" applyFill="1" applyBorder="1" applyAlignment="1">
      <alignment horizontal="center" vertical="top" wrapText="1"/>
    </xf>
    <xf numFmtId="3" fontId="0" fillId="0" borderId="19" xfId="0" applyNumberFormat="1" applyFont="1" applyFill="1" applyBorder="1" applyAlignment="1">
      <alignment horizontal="center" vertical="top" wrapText="1"/>
    </xf>
    <xf numFmtId="1" fontId="0" fillId="0" borderId="19" xfId="0" applyNumberFormat="1" applyFont="1" applyFill="1" applyBorder="1" applyAlignment="1">
      <alignment horizontal="center" vertical="top" wrapText="1"/>
    </xf>
    <xf numFmtId="4" fontId="11" fillId="0" borderId="20" xfId="0" applyNumberFormat="1" applyFont="1" applyFill="1" applyBorder="1" applyAlignment="1">
      <alignment vertical="center" wrapText="1"/>
    </xf>
    <xf numFmtId="4" fontId="11" fillId="0" borderId="21" xfId="0" applyNumberFormat="1" applyFont="1" applyFill="1" applyBorder="1" applyAlignment="1">
      <alignment horizontal="center" vertical="center" wrapText="1"/>
    </xf>
    <xf numFmtId="0" fontId="11" fillId="0" borderId="21" xfId="0" applyFont="1" applyFill="1" applyBorder="1" applyAlignment="1">
      <alignment vertical="center" wrapText="1"/>
    </xf>
    <xf numFmtId="1" fontId="11" fillId="0" borderId="20" xfId="0" applyNumberFormat="1" applyFont="1" applyFill="1" applyBorder="1" applyAlignment="1">
      <alignment horizontal="center" vertical="center" wrapText="1"/>
    </xf>
    <xf numFmtId="1" fontId="11" fillId="0" borderId="21" xfId="0" applyNumberFormat="1" applyFont="1" applyFill="1" applyBorder="1" applyAlignment="1">
      <alignment vertical="center" wrapText="1"/>
    </xf>
    <xf numFmtId="1" fontId="11" fillId="0" borderId="22" xfId="0" applyNumberFormat="1" applyFont="1" applyFill="1" applyBorder="1" applyAlignment="1">
      <alignment horizontal="center" vertical="center" wrapText="1"/>
    </xf>
    <xf numFmtId="4" fontId="11" fillId="0" borderId="0" xfId="0" applyNumberFormat="1" applyFont="1" applyFill="1" applyBorder="1" applyAlignment="1">
      <alignment vertical="center" wrapText="1"/>
    </xf>
    <xf numFmtId="0" fontId="11" fillId="0" borderId="0" xfId="0" applyFont="1" applyFill="1" applyBorder="1" applyAlignment="1">
      <alignment vertical="center" wrapText="1"/>
    </xf>
    <xf numFmtId="0" fontId="0" fillId="0" borderId="16" xfId="0" applyFont="1" applyFill="1" applyBorder="1" applyAlignment="1">
      <alignment horizontal="center" vertical="top" wrapText="1"/>
    </xf>
    <xf numFmtId="1" fontId="0" fillId="0" borderId="16" xfId="55" applyNumberFormat="1" applyFont="1" applyFill="1" applyBorder="1" applyAlignment="1" quotePrefix="1">
      <alignment horizontal="center" vertical="top" wrapText="1"/>
      <protection/>
    </xf>
    <xf numFmtId="49" fontId="0" fillId="0" borderId="16" xfId="55" applyNumberFormat="1" applyFont="1" applyFill="1" applyBorder="1" applyAlignment="1">
      <alignment horizontal="center" vertical="top" wrapText="1"/>
      <protection/>
    </xf>
    <xf numFmtId="169" fontId="0" fillId="0" borderId="16" xfId="53" applyNumberFormat="1" applyFont="1" applyFill="1" applyBorder="1" applyAlignment="1">
      <alignment horizontal="center" vertical="top" wrapText="1"/>
    </xf>
    <xf numFmtId="168" fontId="0" fillId="0" borderId="16" xfId="55" applyNumberFormat="1" applyFont="1" applyFill="1" applyBorder="1" applyAlignment="1">
      <alignment horizontal="center" vertical="top" wrapText="1"/>
      <protection/>
    </xf>
    <xf numFmtId="10" fontId="0" fillId="0" borderId="16" xfId="60" applyNumberFormat="1" applyFont="1" applyFill="1" applyBorder="1" applyAlignment="1">
      <alignment horizontal="center" vertical="top" wrapText="1"/>
    </xf>
    <xf numFmtId="9" fontId="0" fillId="0" borderId="16" xfId="60" applyNumberFormat="1" applyFont="1" applyFill="1" applyBorder="1" applyAlignment="1">
      <alignment horizontal="center" vertical="top" wrapText="1"/>
    </xf>
    <xf numFmtId="9" fontId="0" fillId="0" borderId="16" xfId="55" applyNumberFormat="1" applyFont="1" applyFill="1" applyBorder="1" applyAlignment="1">
      <alignment horizontal="center" vertical="top" wrapText="1"/>
      <protection/>
    </xf>
    <xf numFmtId="3" fontId="0" fillId="0" borderId="16" xfId="55" applyNumberFormat="1" applyFont="1" applyFill="1" applyBorder="1" applyAlignment="1">
      <alignment horizontal="center" vertical="top" wrapText="1"/>
      <protection/>
    </xf>
    <xf numFmtId="0" fontId="0" fillId="0" borderId="23" xfId="55" applyFont="1" applyFill="1" applyBorder="1" applyAlignment="1">
      <alignment horizontal="center" vertical="top" wrapText="1"/>
      <protection/>
    </xf>
    <xf numFmtId="166" fontId="0" fillId="0" borderId="0"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wrapText="1"/>
    </xf>
    <xf numFmtId="4" fontId="0" fillId="0" borderId="0" xfId="0"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0" fontId="0" fillId="0" borderId="0" xfId="0"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1" fontId="0" fillId="0" borderId="0" xfId="0" applyNumberFormat="1" applyFont="1" applyFill="1" applyBorder="1" applyAlignment="1">
      <alignment horizontal="center" vertical="center" wrapText="1"/>
    </xf>
    <xf numFmtId="0" fontId="0" fillId="0" borderId="0" xfId="55" applyFont="1" applyFill="1" applyBorder="1" applyAlignment="1">
      <alignment horizontal="center" vertical="top" wrapText="1"/>
      <protection/>
    </xf>
    <xf numFmtId="0" fontId="0" fillId="0" borderId="18" xfId="0" applyFont="1" applyFill="1" applyBorder="1" applyAlignment="1">
      <alignment horizontal="center" vertical="top" wrapText="1"/>
    </xf>
    <xf numFmtId="166" fontId="0" fillId="0" borderId="18" xfId="0" applyNumberFormat="1" applyFont="1" applyFill="1" applyBorder="1" applyAlignment="1">
      <alignment horizontal="center" vertical="top"/>
    </xf>
    <xf numFmtId="49" fontId="0" fillId="0" borderId="18" xfId="0" applyNumberFormat="1" applyFont="1" applyFill="1" applyBorder="1" applyAlignment="1">
      <alignment horizontal="center" vertical="top" wrapText="1"/>
    </xf>
    <xf numFmtId="165" fontId="0" fillId="0" borderId="18" xfId="0" applyNumberFormat="1" applyFont="1" applyFill="1" applyBorder="1" applyAlignment="1">
      <alignment horizontal="center" vertical="top"/>
    </xf>
    <xf numFmtId="164" fontId="0" fillId="0" borderId="18" xfId="0" applyNumberFormat="1" applyFont="1" applyFill="1" applyBorder="1" applyAlignment="1">
      <alignment horizontal="center" vertical="top"/>
    </xf>
    <xf numFmtId="10" fontId="0" fillId="0" borderId="18" xfId="0" applyNumberFormat="1" applyFont="1" applyFill="1" applyBorder="1" applyAlignment="1">
      <alignment horizontal="center" vertical="top" wrapText="1"/>
    </xf>
    <xf numFmtId="3" fontId="0" fillId="0" borderId="18" xfId="0" applyNumberFormat="1" applyFont="1" applyFill="1" applyBorder="1" applyAlignment="1">
      <alignment horizontal="center" vertical="top" wrapText="1"/>
    </xf>
    <xf numFmtId="1" fontId="0" fillId="0" borderId="18" xfId="0" applyNumberFormat="1" applyFont="1" applyFill="1" applyBorder="1" applyAlignment="1">
      <alignment horizontal="center" vertical="top" wrapText="1"/>
    </xf>
    <xf numFmtId="0" fontId="0" fillId="0" borderId="12" xfId="0" applyFont="1" applyFill="1" applyBorder="1" applyAlignment="1">
      <alignment vertical="top" wrapText="1"/>
    </xf>
    <xf numFmtId="0" fontId="0" fillId="0" borderId="19" xfId="0" applyFont="1" applyFill="1" applyBorder="1" applyAlignment="1">
      <alignment vertical="top" wrapText="1"/>
    </xf>
    <xf numFmtId="0" fontId="0" fillId="0" borderId="10" xfId="0" applyFont="1" applyFill="1" applyBorder="1" applyAlignment="1">
      <alignment vertical="top" wrapText="1"/>
    </xf>
    <xf numFmtId="166" fontId="0" fillId="0" borderId="16" xfId="0" applyNumberFormat="1" applyFont="1" applyFill="1" applyBorder="1" applyAlignment="1">
      <alignment horizontal="center" vertical="top"/>
    </xf>
    <xf numFmtId="49" fontId="0" fillId="0" borderId="16" xfId="0" applyNumberFormat="1" applyFont="1" applyFill="1" applyBorder="1" applyAlignment="1">
      <alignment horizontal="center" vertical="top" wrapText="1"/>
    </xf>
    <xf numFmtId="44" fontId="0" fillId="0" borderId="16" xfId="51" applyFont="1" applyFill="1" applyBorder="1" applyAlignment="1">
      <alignment horizontal="center" vertical="top" wrapText="1"/>
    </xf>
    <xf numFmtId="165" fontId="0" fillId="0" borderId="16" xfId="0" applyNumberFormat="1" applyFont="1" applyFill="1" applyBorder="1" applyAlignment="1">
      <alignment horizontal="center" vertical="top"/>
    </xf>
    <xf numFmtId="164" fontId="0" fillId="0" borderId="16" xfId="0" applyNumberFormat="1" applyFont="1" applyFill="1" applyBorder="1" applyAlignment="1">
      <alignment horizontal="center" vertical="top"/>
    </xf>
    <xf numFmtId="10" fontId="0" fillId="0" borderId="16" xfId="0" applyNumberFormat="1" applyFont="1" applyFill="1" applyBorder="1" applyAlignment="1">
      <alignment horizontal="center" vertical="top" wrapText="1"/>
    </xf>
    <xf numFmtId="3" fontId="0" fillId="0" borderId="16" xfId="0" applyNumberFormat="1" applyFont="1" applyFill="1" applyBorder="1" applyAlignment="1">
      <alignment horizontal="center" vertical="top" wrapText="1"/>
    </xf>
    <xf numFmtId="1" fontId="0" fillId="0" borderId="16" xfId="0" applyNumberFormat="1" applyFont="1" applyFill="1" applyBorder="1" applyAlignment="1">
      <alignment horizontal="center" vertical="top" wrapText="1"/>
    </xf>
    <xf numFmtId="0" fontId="0" fillId="0" borderId="0" xfId="0" applyFont="1" applyFill="1" applyBorder="1" applyAlignment="1">
      <alignment horizontal="center" vertical="top" wrapText="1"/>
    </xf>
    <xf numFmtId="166" fontId="0" fillId="0" borderId="16" xfId="0" applyNumberFormat="1" applyFont="1" applyFill="1" applyBorder="1" applyAlignment="1">
      <alignment horizontal="center" vertical="top" wrapText="1"/>
    </xf>
    <xf numFmtId="167" fontId="0" fillId="0" borderId="16" xfId="0" applyNumberFormat="1" applyFont="1" applyFill="1" applyBorder="1" applyAlignment="1">
      <alignment horizontal="center" vertical="top"/>
    </xf>
    <xf numFmtId="167" fontId="0" fillId="0" borderId="16" xfId="0" applyNumberFormat="1" applyFont="1" applyFill="1" applyBorder="1" applyAlignment="1">
      <alignment horizontal="center" vertical="top" wrapText="1"/>
    </xf>
    <xf numFmtId="167" fontId="0" fillId="0" borderId="16" xfId="53" applyNumberFormat="1" applyFont="1" applyFill="1" applyBorder="1" applyAlignment="1">
      <alignment horizontal="center" vertical="top" wrapText="1"/>
    </xf>
    <xf numFmtId="166" fontId="0" fillId="0" borderId="16" xfId="0" applyNumberFormat="1" applyFont="1" applyFill="1" applyBorder="1" applyAlignment="1" quotePrefix="1">
      <alignment horizontal="center" vertical="top"/>
    </xf>
    <xf numFmtId="166" fontId="0" fillId="35" borderId="16" xfId="0" applyNumberFormat="1" applyFont="1" applyFill="1" applyBorder="1" applyAlignment="1">
      <alignment horizontal="center" vertical="top"/>
    </xf>
    <xf numFmtId="49" fontId="0" fillId="35" borderId="16" xfId="0" applyNumberFormat="1" applyFont="1" applyFill="1" applyBorder="1" applyAlignment="1">
      <alignment horizontal="center" vertical="top" wrapText="1"/>
    </xf>
    <xf numFmtId="165" fontId="0" fillId="35" borderId="16" xfId="0" applyNumberFormat="1" applyFont="1" applyFill="1" applyBorder="1" applyAlignment="1">
      <alignment horizontal="center" vertical="top"/>
    </xf>
    <xf numFmtId="164" fontId="0" fillId="35" borderId="16" xfId="0" applyNumberFormat="1" applyFont="1" applyFill="1" applyBorder="1" applyAlignment="1">
      <alignment horizontal="center" vertical="top"/>
    </xf>
    <xf numFmtId="10" fontId="0" fillId="35" borderId="16" xfId="0" applyNumberFormat="1" applyFont="1" applyFill="1" applyBorder="1" applyAlignment="1">
      <alignment horizontal="center" vertical="top" wrapText="1"/>
    </xf>
    <xf numFmtId="3" fontId="0" fillId="35" borderId="16" xfId="0" applyNumberFormat="1" applyFont="1" applyFill="1" applyBorder="1" applyAlignment="1">
      <alignment horizontal="center" vertical="top" wrapText="1"/>
    </xf>
    <xf numFmtId="1" fontId="0" fillId="35" borderId="16" xfId="0" applyNumberFormat="1" applyFont="1" applyFill="1" applyBorder="1" applyAlignment="1">
      <alignment horizontal="center" vertical="top" wrapText="1"/>
    </xf>
    <xf numFmtId="0" fontId="59" fillId="35" borderId="0" xfId="0" applyFont="1" applyFill="1" applyBorder="1" applyAlignment="1">
      <alignment vertical="top" wrapText="1"/>
    </xf>
    <xf numFmtId="0" fontId="0" fillId="35" borderId="12" xfId="0" applyFont="1" applyFill="1" applyBorder="1" applyAlignment="1">
      <alignment vertical="top" wrapText="1"/>
    </xf>
    <xf numFmtId="0" fontId="0" fillId="35" borderId="19" xfId="0" applyFont="1" applyFill="1" applyBorder="1" applyAlignment="1">
      <alignment vertical="top" wrapText="1"/>
    </xf>
    <xf numFmtId="4" fontId="0" fillId="35" borderId="16" xfId="0" applyNumberFormat="1" applyFont="1" applyFill="1" applyBorder="1" applyAlignment="1">
      <alignment horizontal="center" vertical="top" wrapText="1"/>
    </xf>
    <xf numFmtId="4" fontId="0" fillId="0" borderId="16" xfId="0" applyNumberFormat="1" applyFont="1" applyFill="1" applyBorder="1" applyAlignment="1">
      <alignment horizontal="center" vertical="top" wrapText="1"/>
    </xf>
    <xf numFmtId="4" fontId="0" fillId="0" borderId="16" xfId="0" applyNumberFormat="1" applyFont="1" applyFill="1" applyBorder="1" applyAlignment="1">
      <alignment horizontal="right" vertical="top" wrapText="1"/>
    </xf>
    <xf numFmtId="164" fontId="0" fillId="0" borderId="16" xfId="0" applyNumberFormat="1" applyFont="1" applyFill="1" applyBorder="1" applyAlignment="1">
      <alignment horizontal="center" vertical="top" wrapText="1"/>
    </xf>
    <xf numFmtId="49" fontId="58" fillId="35" borderId="16" xfId="0" applyNumberFormat="1" applyFont="1" applyFill="1" applyBorder="1" applyAlignment="1">
      <alignment horizontal="center" vertical="top" wrapText="1"/>
    </xf>
    <xf numFmtId="4" fontId="0" fillId="35" borderId="16" xfId="0" applyNumberFormat="1" applyFont="1" applyFill="1" applyBorder="1" applyAlignment="1">
      <alignment horizontal="right" vertical="top" wrapText="1"/>
    </xf>
    <xf numFmtId="164" fontId="0" fillId="35" borderId="16" xfId="0" applyNumberFormat="1" applyFont="1" applyFill="1" applyBorder="1" applyAlignment="1">
      <alignment horizontal="center" vertical="top" wrapText="1"/>
    </xf>
    <xf numFmtId="10" fontId="58" fillId="35" borderId="16" xfId="0" applyNumberFormat="1" applyFont="1" applyFill="1" applyBorder="1" applyAlignment="1">
      <alignment horizontal="center" vertical="top" wrapText="1"/>
    </xf>
    <xf numFmtId="2" fontId="58" fillId="35" borderId="16" xfId="0" applyNumberFormat="1" applyFont="1" applyFill="1" applyBorder="1" applyAlignment="1">
      <alignment horizontal="center" vertical="top" wrapText="1"/>
    </xf>
    <xf numFmtId="4" fontId="58" fillId="35" borderId="16" xfId="0" applyNumberFormat="1" applyFont="1" applyFill="1" applyBorder="1" applyAlignment="1">
      <alignment horizontal="center" vertical="top" wrapText="1"/>
    </xf>
    <xf numFmtId="0" fontId="0" fillId="0" borderId="0" xfId="0" applyNumberFormat="1" applyFont="1" applyFill="1" applyBorder="1" applyAlignment="1">
      <alignment vertical="top" wrapText="1"/>
    </xf>
    <xf numFmtId="165" fontId="0" fillId="0" borderId="16" xfId="0" applyNumberFormat="1" applyFont="1" applyFill="1" applyBorder="1" applyAlignment="1">
      <alignment horizontal="center" vertical="top" wrapText="1"/>
    </xf>
    <xf numFmtId="166" fontId="0" fillId="35" borderId="16" xfId="0" applyNumberFormat="1" applyFont="1" applyFill="1" applyBorder="1" applyAlignment="1">
      <alignment horizontal="center" vertical="top" wrapText="1"/>
    </xf>
    <xf numFmtId="165" fontId="0" fillId="35" borderId="16" xfId="0" applyNumberFormat="1" applyFont="1" applyFill="1" applyBorder="1" applyAlignment="1">
      <alignment horizontal="center" vertical="top" wrapText="1"/>
    </xf>
    <xf numFmtId="0" fontId="0" fillId="35" borderId="0" xfId="0" applyFont="1" applyFill="1" applyBorder="1" applyAlignment="1">
      <alignment horizontal="center" vertical="top" wrapText="1"/>
    </xf>
    <xf numFmtId="0" fontId="10" fillId="0" borderId="0" xfId="0" applyFont="1" applyFill="1" applyAlignment="1">
      <alignment vertical="top"/>
    </xf>
    <xf numFmtId="0" fontId="58" fillId="35" borderId="0" xfId="0" applyFont="1" applyFill="1" applyBorder="1" applyAlignment="1">
      <alignment horizontal="center" vertical="top" wrapText="1"/>
    </xf>
    <xf numFmtId="0" fontId="0" fillId="0" borderId="23" xfId="0" applyFont="1" applyFill="1" applyBorder="1" applyAlignment="1">
      <alignment horizontal="center" vertical="top" wrapText="1"/>
    </xf>
    <xf numFmtId="166" fontId="0" fillId="0" borderId="23" xfId="0" applyNumberFormat="1" applyFont="1" applyFill="1" applyBorder="1" applyAlignment="1">
      <alignment horizontal="center" vertical="top"/>
    </xf>
    <xf numFmtId="49" fontId="0" fillId="0" borderId="23" xfId="0" applyNumberFormat="1" applyFont="1" applyFill="1" applyBorder="1" applyAlignment="1">
      <alignment horizontal="center" vertical="top" wrapText="1"/>
    </xf>
    <xf numFmtId="4" fontId="0" fillId="0" borderId="23" xfId="0" applyNumberFormat="1" applyFont="1" applyFill="1" applyBorder="1" applyAlignment="1">
      <alignment horizontal="center" vertical="top" wrapText="1"/>
    </xf>
    <xf numFmtId="165" fontId="0" fillId="0" borderId="23" xfId="0" applyNumberFormat="1" applyFont="1" applyFill="1" applyBorder="1" applyAlignment="1">
      <alignment horizontal="center" vertical="top"/>
    </xf>
    <xf numFmtId="164" fontId="0" fillId="0" borderId="23" xfId="0" applyNumberFormat="1" applyFont="1" applyFill="1" applyBorder="1" applyAlignment="1">
      <alignment horizontal="center" vertical="top"/>
    </xf>
    <xf numFmtId="10" fontId="0" fillId="0" borderId="23" xfId="0" applyNumberFormat="1" applyFont="1" applyFill="1" applyBorder="1" applyAlignment="1">
      <alignment horizontal="center" vertical="top" wrapText="1"/>
    </xf>
    <xf numFmtId="3" fontId="0" fillId="0" borderId="23" xfId="0" applyNumberFormat="1" applyFont="1" applyFill="1" applyBorder="1" applyAlignment="1">
      <alignment horizontal="center" vertical="top" wrapText="1"/>
    </xf>
    <xf numFmtId="1" fontId="0" fillId="0" borderId="23" xfId="0" applyNumberFormat="1" applyFont="1" applyFill="1" applyBorder="1" applyAlignment="1">
      <alignment horizontal="center" vertical="top" wrapText="1"/>
    </xf>
    <xf numFmtId="0" fontId="4" fillId="0" borderId="0" xfId="0" applyFont="1" applyFill="1" applyBorder="1" applyAlignment="1">
      <alignment horizontal="center" vertical="top" wrapText="1" shrinkToFit="1"/>
    </xf>
    <xf numFmtId="0" fontId="4" fillId="0" borderId="0" xfId="0" applyFont="1" applyFill="1" applyBorder="1" applyAlignment="1">
      <alignment horizontal="center" vertical="center" wrapText="1" shrinkToFit="1"/>
    </xf>
    <xf numFmtId="0" fontId="2" fillId="0" borderId="0" xfId="0" applyFont="1" applyFill="1" applyBorder="1" applyAlignment="1">
      <alignment horizontal="center"/>
    </xf>
    <xf numFmtId="0" fontId="3" fillId="0" borderId="19" xfId="0" applyFont="1" applyFill="1" applyBorder="1" applyAlignment="1">
      <alignment horizontal="center" wrapText="1"/>
    </xf>
    <xf numFmtId="0" fontId="3" fillId="0" borderId="24" xfId="0" applyFont="1" applyFill="1" applyBorder="1" applyAlignment="1">
      <alignment horizontal="center" vertical="center" wrapText="1"/>
    </xf>
    <xf numFmtId="166" fontId="0" fillId="0" borderId="18" xfId="0" applyNumberFormat="1" applyFont="1" applyFill="1" applyBorder="1" applyAlignment="1">
      <alignment horizontal="center" vertical="center" wrapText="1"/>
    </xf>
    <xf numFmtId="49" fontId="0" fillId="0" borderId="18" xfId="0" applyNumberFormat="1" applyFont="1" applyFill="1" applyBorder="1" applyAlignment="1">
      <alignment horizontal="center" vertical="center" wrapText="1"/>
    </xf>
    <xf numFmtId="165" fontId="0" fillId="0" borderId="18" xfId="0" applyNumberFormat="1" applyFont="1" applyFill="1" applyBorder="1" applyAlignment="1">
      <alignment horizontal="center" vertical="center" wrapText="1"/>
    </xf>
    <xf numFmtId="164" fontId="0" fillId="0" borderId="18" xfId="0" applyNumberFormat="1" applyFont="1" applyFill="1" applyBorder="1" applyAlignment="1">
      <alignment horizontal="center" vertical="center" wrapText="1"/>
    </xf>
    <xf numFmtId="10" fontId="0" fillId="0" borderId="18" xfId="0" applyNumberFormat="1" applyFont="1" applyFill="1" applyBorder="1" applyAlignment="1">
      <alignment horizontal="center" vertical="center" wrapText="1"/>
    </xf>
    <xf numFmtId="3" fontId="0" fillId="0" borderId="18" xfId="0" applyNumberFormat="1" applyFont="1" applyFill="1" applyBorder="1" applyAlignment="1">
      <alignment horizontal="center" vertical="center" wrapText="1"/>
    </xf>
    <xf numFmtId="1" fontId="0" fillId="0" borderId="18" xfId="0" applyNumberFormat="1" applyFont="1" applyFill="1" applyBorder="1" applyAlignment="1">
      <alignment horizontal="center" vertical="center" wrapText="1"/>
    </xf>
    <xf numFmtId="0" fontId="0" fillId="0" borderId="12" xfId="0" applyFont="1" applyFill="1" applyBorder="1" applyAlignment="1">
      <alignment vertical="center" wrapText="1"/>
    </xf>
    <xf numFmtId="0" fontId="0" fillId="0" borderId="19" xfId="0" applyFont="1" applyFill="1" applyBorder="1" applyAlignment="1">
      <alignment vertical="center" wrapText="1"/>
    </xf>
    <xf numFmtId="166" fontId="0" fillId="0" borderId="16" xfId="0" applyNumberFormat="1" applyFont="1" applyFill="1" applyBorder="1" applyAlignment="1">
      <alignment horizontal="center" vertical="center" wrapText="1"/>
    </xf>
    <xf numFmtId="49" fontId="0" fillId="0" borderId="16" xfId="0" applyNumberFormat="1" applyFont="1" applyFill="1" applyBorder="1" applyAlignment="1">
      <alignment horizontal="center" vertical="center" wrapText="1"/>
    </xf>
    <xf numFmtId="4" fontId="0" fillId="0" borderId="16" xfId="0" applyNumberFormat="1" applyFont="1" applyFill="1" applyBorder="1" applyAlignment="1">
      <alignment horizontal="center" vertical="center" wrapText="1"/>
    </xf>
    <xf numFmtId="165" fontId="0" fillId="0" borderId="16" xfId="0" applyNumberFormat="1" applyFont="1" applyFill="1" applyBorder="1" applyAlignment="1">
      <alignment horizontal="center" vertical="center" wrapText="1"/>
    </xf>
    <xf numFmtId="164" fontId="0" fillId="0" borderId="16" xfId="0" applyNumberFormat="1" applyFont="1" applyFill="1" applyBorder="1" applyAlignment="1">
      <alignment horizontal="center" vertical="center" wrapText="1"/>
    </xf>
    <xf numFmtId="10" fontId="0" fillId="0" borderId="16" xfId="0" applyNumberFormat="1" applyFont="1" applyFill="1" applyBorder="1" applyAlignment="1">
      <alignment horizontal="center" vertical="center" wrapText="1"/>
    </xf>
    <xf numFmtId="3" fontId="0" fillId="0" borderId="16" xfId="0" applyNumberFormat="1" applyFont="1" applyFill="1" applyBorder="1" applyAlignment="1">
      <alignment horizontal="center" vertical="center" wrapText="1"/>
    </xf>
    <xf numFmtId="1" fontId="0" fillId="0" borderId="16" xfId="0" applyNumberFormat="1" applyFont="1" applyFill="1" applyBorder="1" applyAlignment="1">
      <alignment horizontal="center" vertical="center" wrapText="1"/>
    </xf>
    <xf numFmtId="0" fontId="0" fillId="0" borderId="16" xfId="56" applyFont="1" applyFill="1" applyBorder="1" applyAlignment="1">
      <alignment horizontal="center" vertical="center" wrapText="1"/>
      <protection/>
    </xf>
    <xf numFmtId="0" fontId="0" fillId="0" borderId="0" xfId="56" applyFont="1" applyFill="1" applyBorder="1" applyAlignment="1">
      <alignment horizontal="center" vertical="center" wrapText="1"/>
      <protection/>
    </xf>
    <xf numFmtId="0" fontId="13" fillId="0" borderId="0" xfId="0" applyFont="1" applyFill="1" applyAlignment="1">
      <alignment/>
    </xf>
    <xf numFmtId="3" fontId="0" fillId="0" borderId="23" xfId="0" applyNumberFormat="1" applyFont="1" applyFill="1" applyBorder="1" applyAlignment="1">
      <alignment horizontal="center" vertical="center" wrapText="1"/>
    </xf>
    <xf numFmtId="1" fontId="0" fillId="0" borderId="16" xfId="56" applyNumberFormat="1" applyFont="1" applyFill="1" applyBorder="1" applyAlignment="1" quotePrefix="1">
      <alignment horizontal="center" vertical="center" wrapText="1"/>
      <protection/>
    </xf>
    <xf numFmtId="0" fontId="59" fillId="0" borderId="0" xfId="56" applyFont="1" applyFill="1" applyBorder="1" applyAlignment="1">
      <alignment horizontal="center" vertical="center" wrapText="1"/>
      <protection/>
    </xf>
    <xf numFmtId="0" fontId="2" fillId="0" borderId="0" xfId="56" applyFont="1" applyFill="1" applyAlignment="1">
      <alignment vertical="center" wrapText="1"/>
      <protection/>
    </xf>
    <xf numFmtId="169" fontId="0" fillId="0" borderId="16" xfId="53" applyNumberFormat="1" applyFont="1" applyFill="1" applyBorder="1" applyAlignment="1">
      <alignment horizontal="center" vertical="center" wrapText="1"/>
    </xf>
    <xf numFmtId="10" fontId="0" fillId="0" borderId="16" xfId="60" applyNumberFormat="1" applyFont="1" applyFill="1" applyBorder="1" applyAlignment="1">
      <alignment horizontal="center" vertical="center" wrapText="1"/>
    </xf>
    <xf numFmtId="9" fontId="0" fillId="0" borderId="16" xfId="60" applyNumberFormat="1" applyFont="1" applyFill="1" applyBorder="1" applyAlignment="1">
      <alignment horizontal="center" vertical="center" wrapText="1"/>
    </xf>
    <xf numFmtId="168" fontId="0" fillId="0" borderId="16" xfId="56" applyNumberFormat="1" applyFont="1" applyFill="1" applyBorder="1" applyAlignment="1">
      <alignment horizontal="center" vertical="center" wrapText="1"/>
      <protection/>
    </xf>
    <xf numFmtId="9" fontId="0" fillId="0" borderId="16" xfId="56" applyNumberFormat="1" applyFont="1" applyFill="1" applyBorder="1" applyAlignment="1">
      <alignment horizontal="center" vertical="center" wrapText="1"/>
      <protection/>
    </xf>
    <xf numFmtId="3" fontId="0" fillId="0" borderId="16" xfId="56" applyNumberFormat="1" applyFont="1" applyFill="1" applyBorder="1" applyAlignment="1">
      <alignment horizontal="center" vertical="center" wrapText="1"/>
      <protection/>
    </xf>
    <xf numFmtId="0" fontId="0" fillId="0" borderId="23" xfId="0" applyFont="1" applyFill="1" applyBorder="1" applyAlignment="1">
      <alignment horizontal="center" vertical="center" wrapText="1"/>
    </xf>
    <xf numFmtId="0" fontId="0" fillId="0" borderId="23" xfId="56" applyFont="1" applyFill="1" applyBorder="1" applyAlignment="1">
      <alignment horizontal="center" vertical="center" wrapText="1"/>
      <protection/>
    </xf>
    <xf numFmtId="166" fontId="0" fillId="0" borderId="23" xfId="0" applyNumberFormat="1" applyFont="1" applyFill="1" applyBorder="1" applyAlignment="1">
      <alignment horizontal="center" vertical="center" wrapText="1"/>
    </xf>
    <xf numFmtId="49" fontId="0" fillId="0" borderId="23" xfId="0" applyNumberFormat="1" applyFont="1" applyFill="1" applyBorder="1" applyAlignment="1">
      <alignment horizontal="center" vertical="center" wrapText="1"/>
    </xf>
    <xf numFmtId="4" fontId="0" fillId="0" borderId="23" xfId="0" applyNumberFormat="1" applyFont="1" applyFill="1" applyBorder="1" applyAlignment="1">
      <alignment horizontal="center" vertical="center" wrapText="1"/>
    </xf>
    <xf numFmtId="165" fontId="0" fillId="0" borderId="23" xfId="0" applyNumberFormat="1" applyFont="1" applyFill="1" applyBorder="1" applyAlignment="1">
      <alignment horizontal="center" vertical="center" wrapText="1"/>
    </xf>
    <xf numFmtId="164" fontId="0" fillId="0" borderId="23" xfId="0" applyNumberFormat="1" applyFont="1" applyFill="1" applyBorder="1" applyAlignment="1">
      <alignment horizontal="center" vertical="center" wrapText="1"/>
    </xf>
    <xf numFmtId="10" fontId="0" fillId="0" borderId="23" xfId="0" applyNumberFormat="1" applyFont="1" applyFill="1" applyBorder="1" applyAlignment="1">
      <alignment horizontal="center" vertical="center" wrapText="1"/>
    </xf>
    <xf numFmtId="1" fontId="0" fillId="0" borderId="23" xfId="0" applyNumberFormat="1" applyFont="1" applyFill="1" applyBorder="1" applyAlignment="1">
      <alignment horizontal="center" vertical="center" wrapText="1"/>
    </xf>
    <xf numFmtId="0" fontId="0" fillId="0" borderId="25" xfId="0" applyFont="1" applyFill="1" applyBorder="1" applyAlignment="1">
      <alignment horizontal="center" vertical="center" wrapText="1"/>
    </xf>
    <xf numFmtId="49" fontId="0" fillId="0" borderId="26" xfId="0" applyNumberFormat="1" applyFont="1" applyFill="1" applyBorder="1" applyAlignment="1">
      <alignment horizontal="center" vertical="center" wrapText="1"/>
    </xf>
    <xf numFmtId="49" fontId="0" fillId="0" borderId="27" xfId="0" applyNumberFormat="1" applyFont="1" applyFill="1" applyBorder="1" applyAlignment="1">
      <alignment horizontal="center" vertical="center" wrapText="1"/>
    </xf>
    <xf numFmtId="4" fontId="11" fillId="0" borderId="26" xfId="0" applyNumberFormat="1" applyFont="1" applyFill="1" applyBorder="1" applyAlignment="1">
      <alignment horizontal="center" vertical="center" wrapText="1"/>
    </xf>
    <xf numFmtId="4" fontId="11" fillId="0" borderId="26" xfId="0" applyNumberFormat="1" applyFont="1" applyFill="1" applyBorder="1" applyAlignment="1">
      <alignment vertical="center" wrapText="1"/>
    </xf>
    <xf numFmtId="0" fontId="11" fillId="0" borderId="26" xfId="0" applyFont="1" applyFill="1" applyBorder="1" applyAlignment="1">
      <alignment vertical="center" wrapText="1"/>
    </xf>
    <xf numFmtId="164" fontId="11" fillId="0" borderId="26" xfId="0" applyNumberFormat="1" applyFont="1" applyFill="1" applyBorder="1" applyAlignment="1">
      <alignment horizontal="right" vertical="center"/>
    </xf>
    <xf numFmtId="3" fontId="11" fillId="0" borderId="26" xfId="0" applyNumberFormat="1" applyFont="1" applyFill="1" applyBorder="1" applyAlignment="1">
      <alignment horizontal="center" vertical="center" wrapText="1"/>
    </xf>
    <xf numFmtId="10" fontId="11" fillId="0" borderId="26" xfId="0" applyNumberFormat="1" applyFont="1" applyFill="1" applyBorder="1" applyAlignment="1">
      <alignment horizontal="center" vertical="center" wrapText="1"/>
    </xf>
    <xf numFmtId="3" fontId="0" fillId="0" borderId="26" xfId="0" applyNumberFormat="1" applyFont="1" applyFill="1" applyBorder="1" applyAlignment="1">
      <alignment horizontal="left" vertical="center"/>
    </xf>
    <xf numFmtId="1" fontId="11" fillId="0" borderId="27" xfId="0" applyNumberFormat="1" applyFont="1" applyFill="1" applyBorder="1" applyAlignment="1">
      <alignment vertical="center" wrapText="1"/>
    </xf>
    <xf numFmtId="1" fontId="11" fillId="0" borderId="0" xfId="0" applyNumberFormat="1" applyFont="1" applyFill="1" applyBorder="1" applyAlignment="1">
      <alignment vertical="center" wrapText="1"/>
    </xf>
    <xf numFmtId="0" fontId="0" fillId="0" borderId="0" xfId="0" applyFont="1" applyFill="1" applyAlignment="1">
      <alignment vertical="center" wrapText="1"/>
    </xf>
    <xf numFmtId="4" fontId="11" fillId="0" borderId="0" xfId="0" applyNumberFormat="1" applyFont="1" applyFill="1" applyBorder="1" applyAlignment="1">
      <alignment horizontal="center" vertical="center"/>
    </xf>
    <xf numFmtId="0" fontId="0" fillId="0" borderId="28" xfId="0" applyFont="1" applyFill="1" applyBorder="1" applyAlignment="1">
      <alignment horizontal="center" vertical="center" wrapText="1"/>
    </xf>
    <xf numFmtId="4" fontId="11" fillId="0" borderId="0" xfId="0" applyNumberFormat="1" applyFont="1" applyFill="1" applyBorder="1" applyAlignment="1">
      <alignment horizontal="center" vertical="center" wrapText="1"/>
    </xf>
    <xf numFmtId="164" fontId="11" fillId="0" borderId="0" xfId="0" applyNumberFormat="1" applyFont="1" applyFill="1" applyBorder="1" applyAlignment="1">
      <alignment horizontal="right" vertical="center"/>
    </xf>
    <xf numFmtId="3" fontId="11" fillId="0" borderId="0" xfId="0" applyNumberFormat="1" applyFont="1" applyFill="1" applyBorder="1" applyAlignment="1">
      <alignment horizontal="center" vertical="center" wrapText="1"/>
    </xf>
    <xf numFmtId="10" fontId="11" fillId="0" borderId="0" xfId="0" applyNumberFormat="1" applyFont="1" applyFill="1" applyBorder="1" applyAlignment="1">
      <alignment horizontal="center" vertical="center" wrapText="1"/>
    </xf>
    <xf numFmtId="3" fontId="0" fillId="0" borderId="0" xfId="0" applyNumberFormat="1" applyFont="1" applyFill="1" applyBorder="1" applyAlignment="1">
      <alignment horizontal="left" vertical="center"/>
    </xf>
    <xf numFmtId="1" fontId="11" fillId="0" borderId="11" xfId="0" applyNumberFormat="1" applyFont="1" applyFill="1" applyBorder="1" applyAlignment="1">
      <alignment vertical="center" wrapText="1"/>
    </xf>
    <xf numFmtId="0" fontId="0" fillId="0" borderId="19" xfId="0" applyFont="1" applyFill="1" applyBorder="1" applyAlignment="1">
      <alignment horizontal="center" vertical="center" wrapText="1"/>
    </xf>
    <xf numFmtId="49" fontId="0" fillId="0" borderId="19" xfId="0" applyNumberFormat="1" applyFont="1" applyFill="1" applyBorder="1" applyAlignment="1">
      <alignment horizontal="center" vertical="center" wrapText="1"/>
    </xf>
    <xf numFmtId="165" fontId="0" fillId="0" borderId="19" xfId="0" applyNumberFormat="1" applyFont="1" applyFill="1" applyBorder="1" applyAlignment="1">
      <alignment horizontal="center" vertical="center"/>
    </xf>
    <xf numFmtId="164" fontId="0" fillId="0" borderId="19" xfId="0" applyNumberFormat="1" applyFont="1" applyFill="1" applyBorder="1" applyAlignment="1">
      <alignment horizontal="center" vertical="center" wrapText="1"/>
    </xf>
    <xf numFmtId="10" fontId="0" fillId="0" borderId="19" xfId="0" applyNumberFormat="1" applyFont="1" applyFill="1" applyBorder="1" applyAlignment="1">
      <alignment horizontal="center" vertical="center" wrapText="1"/>
    </xf>
    <xf numFmtId="164" fontId="0" fillId="0" borderId="19" xfId="0" applyNumberFormat="1" applyFont="1" applyFill="1" applyBorder="1" applyAlignment="1">
      <alignment horizontal="center" vertical="center"/>
    </xf>
    <xf numFmtId="1" fontId="0" fillId="0" borderId="19" xfId="0" applyNumberFormat="1" applyFont="1" applyFill="1" applyBorder="1" applyAlignment="1">
      <alignment horizontal="center" vertical="center" wrapText="1"/>
    </xf>
    <xf numFmtId="0" fontId="0" fillId="0" borderId="0" xfId="0" applyFont="1" applyFill="1" applyAlignment="1">
      <alignment horizontal="center" vertical="center" wrapText="1"/>
    </xf>
    <xf numFmtId="0" fontId="11" fillId="0" borderId="10" xfId="0" applyFont="1" applyFill="1" applyBorder="1" applyAlignment="1">
      <alignment horizontal="center" vertical="top" wrapText="1"/>
    </xf>
    <xf numFmtId="49" fontId="11" fillId="0" borderId="11" xfId="0" applyNumberFormat="1" applyFont="1" applyFill="1" applyBorder="1" applyAlignment="1">
      <alignment horizontal="center" vertical="center" wrapText="1"/>
    </xf>
    <xf numFmtId="4" fontId="11" fillId="0" borderId="11" xfId="0" applyNumberFormat="1" applyFont="1" applyFill="1" applyBorder="1" applyAlignment="1">
      <alignment horizontal="center" vertical="center" wrapText="1"/>
    </xf>
    <xf numFmtId="4" fontId="11" fillId="0" borderId="11" xfId="0" applyNumberFormat="1" applyFont="1" applyFill="1" applyBorder="1" applyAlignment="1">
      <alignment vertical="center" wrapText="1"/>
    </xf>
    <xf numFmtId="0" fontId="11" fillId="0" borderId="11" xfId="0" applyFont="1" applyFill="1" applyBorder="1" applyAlignment="1">
      <alignment vertical="center" wrapText="1"/>
    </xf>
    <xf numFmtId="164" fontId="11" fillId="0" borderId="11" xfId="0" applyNumberFormat="1" applyFont="1" applyFill="1" applyBorder="1" applyAlignment="1">
      <alignment horizontal="right" vertical="center"/>
    </xf>
    <xf numFmtId="3" fontId="11" fillId="0" borderId="11" xfId="0" applyNumberFormat="1" applyFont="1" applyFill="1" applyBorder="1" applyAlignment="1">
      <alignment horizontal="center" vertical="center" wrapText="1"/>
    </xf>
    <xf numFmtId="10" fontId="11" fillId="0" borderId="11" xfId="0" applyNumberFormat="1" applyFont="1" applyFill="1" applyBorder="1" applyAlignment="1">
      <alignment horizontal="center" vertical="center" wrapText="1"/>
    </xf>
    <xf numFmtId="3" fontId="0" fillId="0" borderId="11" xfId="0" applyNumberFormat="1" applyFont="1" applyFill="1" applyBorder="1" applyAlignment="1">
      <alignment horizontal="left" vertical="center"/>
    </xf>
    <xf numFmtId="1" fontId="11" fillId="0" borderId="12" xfId="0" applyNumberFormat="1" applyFont="1" applyFill="1" applyBorder="1" applyAlignment="1">
      <alignment vertical="center" wrapText="1"/>
    </xf>
    <xf numFmtId="0" fontId="11" fillId="0" borderId="0" xfId="0" applyFont="1" applyFill="1" applyBorder="1" applyAlignment="1">
      <alignment horizontal="center" vertical="center" wrapText="1"/>
    </xf>
    <xf numFmtId="0" fontId="11" fillId="0" borderId="0" xfId="0" applyFont="1" applyFill="1" applyAlignment="1">
      <alignment vertical="center" wrapText="1"/>
    </xf>
    <xf numFmtId="0" fontId="0" fillId="0" borderId="29" xfId="0" applyFont="1" applyFill="1" applyBorder="1" applyAlignment="1">
      <alignment horizontal="center" vertical="center" wrapText="1"/>
    </xf>
    <xf numFmtId="166" fontId="0" fillId="0" borderId="29" xfId="0" applyNumberFormat="1" applyFont="1" applyFill="1" applyBorder="1" applyAlignment="1">
      <alignment horizontal="center" vertical="center"/>
    </xf>
    <xf numFmtId="49" fontId="0" fillId="0" borderId="29" xfId="0" applyNumberFormat="1" applyFont="1" applyFill="1" applyBorder="1" applyAlignment="1">
      <alignment horizontal="center" vertical="center" wrapText="1"/>
    </xf>
    <xf numFmtId="165" fontId="0" fillId="0" borderId="29" xfId="0" applyNumberFormat="1" applyFont="1" applyFill="1" applyBorder="1" applyAlignment="1">
      <alignment horizontal="center" vertical="center"/>
    </xf>
    <xf numFmtId="164" fontId="0" fillId="0" borderId="29" xfId="0" applyNumberFormat="1" applyFont="1" applyFill="1" applyBorder="1" applyAlignment="1">
      <alignment horizontal="center" vertical="center"/>
    </xf>
    <xf numFmtId="10" fontId="0" fillId="0" borderId="29" xfId="0" applyNumberFormat="1" applyFont="1" applyFill="1" applyBorder="1" applyAlignment="1">
      <alignment horizontal="center" vertical="center" wrapText="1"/>
    </xf>
    <xf numFmtId="164" fontId="0" fillId="0" borderId="29" xfId="0" applyNumberFormat="1" applyFont="1" applyFill="1" applyBorder="1" applyAlignment="1">
      <alignment horizontal="center" vertical="center" wrapText="1"/>
    </xf>
    <xf numFmtId="3" fontId="0" fillId="0" borderId="29" xfId="0" applyNumberFormat="1" applyFont="1" applyFill="1" applyBorder="1" applyAlignment="1">
      <alignment horizontal="center" vertical="center" wrapText="1"/>
    </xf>
    <xf numFmtId="1" fontId="0" fillId="0" borderId="29" xfId="0" applyNumberFormat="1" applyFont="1" applyFill="1" applyBorder="1" applyAlignment="1">
      <alignment horizontal="center" vertical="center" wrapText="1"/>
    </xf>
    <xf numFmtId="0" fontId="2" fillId="0" borderId="0" xfId="0" applyFont="1" applyFill="1" applyAlignment="1">
      <alignment horizontal="center" vertical="top" wrapText="1"/>
    </xf>
    <xf numFmtId="0" fontId="3" fillId="0" borderId="0" xfId="0" applyFont="1" applyFill="1" applyAlignment="1">
      <alignment horizontal="left" vertical="center" wrapText="1"/>
    </xf>
    <xf numFmtId="0" fontId="2" fillId="0" borderId="0" xfId="0" applyFont="1" applyFill="1" applyBorder="1" applyAlignment="1">
      <alignment horizontal="center" vertical="top" wrapText="1"/>
    </xf>
    <xf numFmtId="0" fontId="2" fillId="0" borderId="0" xfId="0" applyFont="1" applyFill="1" applyBorder="1" applyAlignment="1">
      <alignment vertical="top" wrapText="1"/>
    </xf>
    <xf numFmtId="0" fontId="2" fillId="0" borderId="0" xfId="0" applyFont="1" applyFill="1" applyAlignment="1">
      <alignment vertical="top" wrapText="1"/>
    </xf>
    <xf numFmtId="4" fontId="5" fillId="0" borderId="0" xfId="56" applyNumberFormat="1" applyFont="1" applyFill="1" applyAlignment="1">
      <alignment horizontal="left" vertical="top"/>
      <protection/>
    </xf>
    <xf numFmtId="4" fontId="2" fillId="0" borderId="0" xfId="56" applyNumberFormat="1" applyFont="1" applyFill="1" applyAlignment="1">
      <alignment horizontal="center"/>
      <protection/>
    </xf>
    <xf numFmtId="49" fontId="2" fillId="0" borderId="0" xfId="56" applyNumberFormat="1" applyFont="1" applyFill="1" applyAlignment="1">
      <alignment horizontal="center"/>
      <protection/>
    </xf>
    <xf numFmtId="4" fontId="2" fillId="0" borderId="0" xfId="56" applyNumberFormat="1" applyFont="1" applyFill="1">
      <alignment/>
      <protection/>
    </xf>
    <xf numFmtId="4" fontId="2" fillId="0" borderId="0" xfId="56" applyNumberFormat="1" applyFont="1" applyFill="1" applyAlignment="1">
      <alignment horizontal="center" vertical="center"/>
      <protection/>
    </xf>
    <xf numFmtId="164" fontId="2" fillId="0" borderId="0" xfId="56" applyNumberFormat="1" applyFont="1" applyFill="1">
      <alignment/>
      <protection/>
    </xf>
    <xf numFmtId="10" fontId="2" fillId="0" borderId="0" xfId="56" applyNumberFormat="1" applyFont="1" applyFill="1">
      <alignment/>
      <protection/>
    </xf>
    <xf numFmtId="4" fontId="2" fillId="0" borderId="0" xfId="56" applyNumberFormat="1" applyFont="1" applyFill="1" applyBorder="1" applyAlignment="1">
      <alignment horizontal="center"/>
      <protection/>
    </xf>
    <xf numFmtId="4" fontId="2" fillId="0" borderId="0" xfId="56" applyNumberFormat="1" applyFont="1" applyFill="1" applyBorder="1">
      <alignment/>
      <protection/>
    </xf>
    <xf numFmtId="0" fontId="14" fillId="0" borderId="0" xfId="0" applyFont="1" applyFill="1" applyBorder="1" applyAlignment="1">
      <alignment horizontal="center" vertical="top" wrapText="1"/>
    </xf>
    <xf numFmtId="49" fontId="14" fillId="0" borderId="0" xfId="0" applyNumberFormat="1" applyFont="1" applyFill="1" applyBorder="1" applyAlignment="1">
      <alignment horizontal="center" vertical="top" wrapText="1"/>
    </xf>
    <xf numFmtId="166" fontId="14" fillId="0" borderId="0" xfId="0" applyNumberFormat="1" applyFont="1" applyFill="1" applyBorder="1" applyAlignment="1">
      <alignment horizontal="center" vertical="top" wrapText="1"/>
    </xf>
    <xf numFmtId="0" fontId="14" fillId="0" borderId="0" xfId="0" applyFont="1" applyFill="1" applyBorder="1" applyAlignment="1">
      <alignment horizontal="left" vertical="top" wrapText="1"/>
    </xf>
    <xf numFmtId="0" fontId="14" fillId="0" borderId="0" xfId="0" applyFont="1" applyFill="1" applyBorder="1" applyAlignment="1">
      <alignment horizontal="justify" vertical="top" wrapText="1"/>
    </xf>
    <xf numFmtId="0" fontId="14" fillId="0" borderId="0" xfId="0" applyFont="1" applyFill="1" applyBorder="1" applyAlignment="1" quotePrefix="1">
      <alignment horizontal="center" vertical="top" wrapText="1"/>
    </xf>
    <xf numFmtId="4" fontId="14" fillId="0" borderId="0" xfId="0" applyNumberFormat="1" applyFont="1" applyFill="1" applyBorder="1" applyAlignment="1" quotePrefix="1">
      <alignment horizontal="center" vertical="center" wrapText="1"/>
    </xf>
    <xf numFmtId="170" fontId="2" fillId="0" borderId="0" xfId="60" applyNumberFormat="1" applyFont="1" applyFill="1" applyAlignment="1">
      <alignment/>
    </xf>
    <xf numFmtId="4" fontId="14" fillId="0" borderId="0" xfId="0" applyNumberFormat="1" applyFont="1" applyFill="1" applyBorder="1" applyAlignment="1">
      <alignment horizontal="right" vertical="top" wrapText="1"/>
    </xf>
    <xf numFmtId="4" fontId="14" fillId="0" borderId="0" xfId="0" applyNumberFormat="1" applyFont="1" applyFill="1" applyBorder="1" applyAlignment="1">
      <alignment horizontal="center" vertical="top" wrapText="1"/>
    </xf>
    <xf numFmtId="164" fontId="14" fillId="0" borderId="0" xfId="0" applyNumberFormat="1" applyFont="1" applyFill="1" applyBorder="1" applyAlignment="1">
      <alignment horizontal="center" vertical="top" wrapText="1"/>
    </xf>
    <xf numFmtId="10" fontId="14" fillId="0" borderId="0" xfId="0" applyNumberFormat="1" applyFont="1" applyFill="1" applyBorder="1" applyAlignment="1">
      <alignment horizontal="center" vertical="top" wrapText="1"/>
    </xf>
    <xf numFmtId="3" fontId="14" fillId="0" borderId="0" xfId="0" applyNumberFormat="1" applyFont="1" applyFill="1" applyBorder="1" applyAlignment="1">
      <alignment horizontal="center" vertical="top" wrapText="1"/>
    </xf>
    <xf numFmtId="10" fontId="0" fillId="0" borderId="0" xfId="60" applyNumberFormat="1" applyFont="1" applyFill="1" applyBorder="1" applyAlignment="1">
      <alignment horizontal="center" vertical="top" wrapText="1"/>
    </xf>
    <xf numFmtId="0" fontId="14" fillId="0" borderId="0" xfId="0" applyFont="1" applyFill="1" applyBorder="1" applyAlignment="1">
      <alignment vertical="top" wrapText="1"/>
    </xf>
    <xf numFmtId="49" fontId="0" fillId="0" borderId="0" xfId="0" applyNumberFormat="1" applyFont="1" applyFill="1" applyBorder="1" applyAlignment="1">
      <alignment horizontal="center" vertical="top" wrapText="1"/>
    </xf>
    <xf numFmtId="166" fontId="0" fillId="0" borderId="0" xfId="0" applyNumberFormat="1" applyFont="1" applyFill="1" applyBorder="1" applyAlignment="1">
      <alignment horizontal="center" vertical="top" wrapText="1"/>
    </xf>
    <xf numFmtId="0" fontId="0" fillId="0" borderId="0" xfId="0" applyFont="1" applyFill="1" applyBorder="1" applyAlignment="1">
      <alignment horizontal="left" vertical="top" wrapText="1"/>
    </xf>
    <xf numFmtId="0" fontId="0" fillId="0" borderId="0" xfId="0" applyFont="1" applyFill="1" applyBorder="1" applyAlignment="1">
      <alignment horizontal="justify" vertical="top" wrapText="1"/>
    </xf>
    <xf numFmtId="0" fontId="0" fillId="0" borderId="0" xfId="0" applyFont="1" applyFill="1" applyBorder="1" applyAlignment="1" quotePrefix="1">
      <alignment horizontal="center" vertical="top" wrapText="1"/>
    </xf>
    <xf numFmtId="4" fontId="0" fillId="0" borderId="0" xfId="0" applyNumberFormat="1" applyFont="1" applyFill="1" applyBorder="1" applyAlignment="1" quotePrefix="1">
      <alignment horizontal="center" vertical="center" wrapText="1"/>
    </xf>
    <xf numFmtId="4" fontId="0" fillId="0" borderId="0" xfId="0" applyNumberFormat="1" applyFont="1" applyFill="1" applyBorder="1" applyAlignment="1">
      <alignment horizontal="right" vertical="top" wrapText="1"/>
    </xf>
    <xf numFmtId="4" fontId="0" fillId="0" borderId="0" xfId="0" applyNumberFormat="1" applyFont="1" applyFill="1" applyBorder="1" applyAlignment="1">
      <alignment horizontal="center" vertical="top" wrapText="1"/>
    </xf>
    <xf numFmtId="164" fontId="0" fillId="0" borderId="0" xfId="0" applyNumberFormat="1" applyFont="1" applyFill="1" applyBorder="1" applyAlignment="1">
      <alignment horizontal="center" vertical="top" wrapText="1"/>
    </xf>
    <xf numFmtId="10" fontId="0" fillId="0" borderId="0" xfId="0" applyNumberFormat="1" applyFont="1" applyFill="1" applyBorder="1" applyAlignment="1">
      <alignment horizontal="center" vertical="top" wrapText="1"/>
    </xf>
    <xf numFmtId="3" fontId="0" fillId="0" borderId="0" xfId="0" applyNumberFormat="1" applyFont="1" applyFill="1" applyBorder="1" applyAlignment="1">
      <alignment horizontal="center" vertical="top" wrapText="1"/>
    </xf>
    <xf numFmtId="0" fontId="0" fillId="0" borderId="0" xfId="0" applyFont="1" applyFill="1" applyAlignment="1">
      <alignment/>
    </xf>
    <xf numFmtId="4" fontId="11" fillId="0" borderId="0" xfId="0" applyNumberFormat="1" applyFont="1" applyFill="1" applyBorder="1" applyAlignment="1">
      <alignment horizontal="right" vertical="top"/>
    </xf>
    <xf numFmtId="10" fontId="60" fillId="0" borderId="19" xfId="60" applyNumberFormat="1" applyFont="1" applyFill="1" applyBorder="1" applyAlignment="1">
      <alignment horizontal="center" vertical="top" wrapText="1"/>
    </xf>
    <xf numFmtId="171" fontId="60" fillId="0" borderId="19" xfId="0" applyNumberFormat="1" applyFont="1" applyFill="1" applyBorder="1" applyAlignment="1">
      <alignment horizontal="right" vertical="top" wrapText="1"/>
    </xf>
    <xf numFmtId="0" fontId="0" fillId="0" borderId="0" xfId="0" applyFont="1" applyFill="1" applyAlignment="1">
      <alignment horizontal="right"/>
    </xf>
    <xf numFmtId="172" fontId="0" fillId="0" borderId="0" xfId="60" applyNumberFormat="1" applyFont="1" applyFill="1" applyAlignment="1">
      <alignment horizontal="right"/>
    </xf>
    <xf numFmtId="4" fontId="61" fillId="0" borderId="0" xfId="0" applyNumberFormat="1" applyFont="1" applyFill="1" applyBorder="1" applyAlignment="1">
      <alignment horizontal="right" vertical="top"/>
    </xf>
    <xf numFmtId="0" fontId="11" fillId="0" borderId="0" xfId="0" applyFont="1" applyFill="1" applyAlignment="1">
      <alignment horizontal="left"/>
    </xf>
    <xf numFmtId="0" fontId="0" fillId="0" borderId="0" xfId="0" applyFont="1" applyFill="1" applyAlignment="1">
      <alignment horizontal="center" vertical="top"/>
    </xf>
    <xf numFmtId="0" fontId="0" fillId="0" borderId="0" xfId="0" applyFont="1" applyFill="1" applyAlignment="1">
      <alignment horizontal="center"/>
    </xf>
    <xf numFmtId="0" fontId="0" fillId="0" borderId="0" xfId="0" applyFont="1" applyFill="1" applyAlignment="1">
      <alignment horizontal="center" vertical="center"/>
    </xf>
    <xf numFmtId="0" fontId="0" fillId="0" borderId="0" xfId="0" applyFont="1" applyFill="1" applyBorder="1" applyAlignment="1">
      <alignment horizontal="center"/>
    </xf>
    <xf numFmtId="0" fontId="0" fillId="0" borderId="0" xfId="0" applyFont="1" applyFill="1" applyBorder="1" applyAlignment="1">
      <alignment/>
    </xf>
    <xf numFmtId="0" fontId="0" fillId="0" borderId="16" xfId="56" applyFont="1" applyFill="1" applyBorder="1" applyAlignment="1">
      <alignment horizontal="center" vertical="top" wrapText="1"/>
      <protection/>
    </xf>
    <xf numFmtId="165" fontId="0" fillId="0" borderId="16" xfId="0" applyNumberFormat="1" applyFont="1" applyFill="1" applyBorder="1" applyAlignment="1">
      <alignment horizontal="center" vertical="center"/>
    </xf>
    <xf numFmtId="164" fontId="0" fillId="0" borderId="16" xfId="0" applyNumberFormat="1" applyFont="1" applyFill="1" applyBorder="1" applyAlignment="1">
      <alignment horizontal="center" vertical="center"/>
    </xf>
    <xf numFmtId="0" fontId="0" fillId="0" borderId="0" xfId="56" applyFont="1" applyFill="1" applyBorder="1" applyAlignment="1">
      <alignment horizontal="center" vertical="top" wrapText="1"/>
      <protection/>
    </xf>
    <xf numFmtId="0" fontId="2" fillId="0" borderId="0" xfId="56" applyFont="1" applyFill="1" applyAlignment="1">
      <alignment vertical="top" wrapText="1"/>
      <protection/>
    </xf>
    <xf numFmtId="0" fontId="13" fillId="0" borderId="0" xfId="0" applyFont="1" applyAlignment="1">
      <alignment/>
    </xf>
    <xf numFmtId="0" fontId="5" fillId="0" borderId="0" xfId="0" applyFont="1" applyFill="1" applyAlignment="1">
      <alignment vertical="top" wrapText="1" shrinkToFit="1"/>
    </xf>
    <xf numFmtId="0" fontId="5" fillId="0" borderId="0" xfId="0" applyFont="1" applyFill="1" applyBorder="1" applyAlignment="1">
      <alignment vertical="top" wrapText="1" shrinkToFit="1"/>
    </xf>
    <xf numFmtId="0" fontId="2" fillId="0" borderId="19" xfId="0" applyFont="1" applyFill="1" applyBorder="1" applyAlignment="1">
      <alignment horizontal="center" vertical="top" wrapText="1"/>
    </xf>
    <xf numFmtId="49" fontId="2" fillId="0" borderId="19" xfId="0" applyNumberFormat="1" applyFont="1" applyFill="1" applyBorder="1" applyAlignment="1">
      <alignment horizontal="center" vertical="top" wrapText="1"/>
    </xf>
    <xf numFmtId="0" fontId="2" fillId="0" borderId="19" xfId="0" applyFont="1" applyFill="1" applyBorder="1" applyAlignment="1">
      <alignment horizontal="justify" vertical="top"/>
    </xf>
    <xf numFmtId="0" fontId="2" fillId="0" borderId="19" xfId="0" applyFont="1" applyFill="1" applyBorder="1" applyAlignment="1">
      <alignment horizontal="left" vertical="top" wrapText="1"/>
    </xf>
    <xf numFmtId="4" fontId="2" fillId="0" borderId="19" xfId="0" applyNumberFormat="1" applyFont="1" applyFill="1" applyBorder="1" applyAlignment="1">
      <alignment horizontal="left" vertical="top" wrapText="1"/>
    </xf>
    <xf numFmtId="4" fontId="2" fillId="0" borderId="19" xfId="0" applyNumberFormat="1" applyFont="1" applyFill="1" applyBorder="1" applyAlignment="1">
      <alignment horizontal="center" vertical="top" wrapText="1"/>
    </xf>
    <xf numFmtId="164" fontId="2" fillId="0" borderId="19" xfId="0" applyNumberFormat="1" applyFont="1" applyFill="1" applyBorder="1" applyAlignment="1">
      <alignment horizontal="center" vertical="top" wrapText="1"/>
    </xf>
    <xf numFmtId="10" fontId="2" fillId="0" borderId="19" xfId="0" applyNumberFormat="1" applyFont="1" applyFill="1" applyBorder="1" applyAlignment="1">
      <alignment horizontal="center" vertical="top" wrapText="1"/>
    </xf>
    <xf numFmtId="0" fontId="2" fillId="0" borderId="19" xfId="0" applyFont="1" applyFill="1" applyBorder="1" applyAlignment="1">
      <alignment vertical="top" wrapText="1"/>
    </xf>
    <xf numFmtId="0" fontId="2" fillId="0" borderId="19" xfId="0" applyFont="1" applyFill="1" applyBorder="1" applyAlignment="1">
      <alignment horizontal="center" vertical="justify" wrapText="1"/>
    </xf>
    <xf numFmtId="0" fontId="2" fillId="0" borderId="19" xfId="0" applyFont="1" applyFill="1" applyBorder="1" applyAlignment="1">
      <alignment horizontal="justify" vertical="top" wrapText="1"/>
    </xf>
    <xf numFmtId="0" fontId="2" fillId="0" borderId="10" xfId="0" applyFont="1" applyFill="1" applyBorder="1" applyAlignment="1">
      <alignment horizontal="center" vertical="justify" wrapText="1"/>
    </xf>
    <xf numFmtId="0" fontId="3" fillId="0" borderId="0" xfId="0" applyFont="1" applyFill="1" applyBorder="1" applyAlignment="1">
      <alignment vertical="top" wrapText="1" shrinkToFit="1"/>
    </xf>
    <xf numFmtId="49" fontId="2" fillId="0" borderId="0" xfId="0" applyNumberFormat="1" applyFont="1" applyFill="1" applyBorder="1" applyAlignment="1">
      <alignment horizontal="center" vertical="top" wrapText="1"/>
    </xf>
    <xf numFmtId="0" fontId="2" fillId="0" borderId="0" xfId="0" applyFont="1" applyFill="1" applyBorder="1" applyAlignment="1">
      <alignment horizontal="center" vertical="justify" wrapText="1"/>
    </xf>
    <xf numFmtId="4" fontId="2" fillId="0" borderId="0" xfId="0" applyNumberFormat="1" applyFont="1" applyFill="1" applyBorder="1" applyAlignment="1">
      <alignment horizontal="center" vertical="top" wrapText="1"/>
    </xf>
    <xf numFmtId="164" fontId="2" fillId="0" borderId="0" xfId="0" applyNumberFormat="1" applyFont="1" applyFill="1" applyBorder="1" applyAlignment="1">
      <alignment horizontal="center" vertical="top" wrapText="1"/>
    </xf>
    <xf numFmtId="10" fontId="2" fillId="0" borderId="0" xfId="0" applyNumberFormat="1" applyFont="1" applyFill="1" applyBorder="1" applyAlignment="1">
      <alignment horizontal="center" vertical="top" wrapText="1"/>
    </xf>
    <xf numFmtId="43" fontId="2" fillId="0" borderId="19" xfId="50" applyFont="1" applyFill="1" applyBorder="1" applyAlignment="1">
      <alignment horizontal="center" vertical="justify" wrapText="1"/>
    </xf>
    <xf numFmtId="175" fontId="2" fillId="0" borderId="19" xfId="0" applyNumberFormat="1" applyFont="1" applyFill="1" applyBorder="1" applyAlignment="1">
      <alignment horizontal="center" vertical="justify" wrapText="1"/>
    </xf>
    <xf numFmtId="175" fontId="2" fillId="0" borderId="0" xfId="0" applyNumberFormat="1" applyFont="1" applyFill="1" applyBorder="1" applyAlignment="1">
      <alignment horizontal="center" vertical="justify" wrapText="1"/>
    </xf>
    <xf numFmtId="0" fontId="0" fillId="0" borderId="0" xfId="0" applyBorder="1" applyAlignment="1">
      <alignment/>
    </xf>
    <xf numFmtId="0" fontId="2" fillId="36" borderId="19" xfId="0" applyFont="1" applyFill="1" applyBorder="1" applyAlignment="1">
      <alignment horizontal="center" vertical="top" wrapText="1"/>
    </xf>
    <xf numFmtId="0" fontId="3" fillId="0" borderId="0" xfId="0" applyFont="1" applyFill="1" applyBorder="1" applyAlignment="1">
      <alignment horizontal="center" vertical="justify" wrapText="1"/>
    </xf>
    <xf numFmtId="175" fontId="0" fillId="0" borderId="0" xfId="0" applyNumberFormat="1" applyFont="1" applyFill="1" applyBorder="1" applyAlignment="1">
      <alignment horizontal="center" vertical="justify" wrapText="1"/>
    </xf>
    <xf numFmtId="0" fontId="0" fillId="0" borderId="0" xfId="0" applyFont="1" applyFill="1" applyBorder="1" applyAlignment="1">
      <alignment horizontal="center" vertical="justify" wrapText="1"/>
    </xf>
    <xf numFmtId="3" fontId="62" fillId="0" borderId="19" xfId="0" applyNumberFormat="1" applyFont="1" applyFill="1" applyBorder="1" applyAlignment="1">
      <alignment horizontal="center" vertical="top" wrapText="1"/>
    </xf>
    <xf numFmtId="0" fontId="11" fillId="0" borderId="0" xfId="0" applyFont="1" applyFill="1" applyBorder="1" applyAlignment="1">
      <alignment horizontal="center" vertical="top" wrapText="1"/>
    </xf>
    <xf numFmtId="0" fontId="0" fillId="0" borderId="0" xfId="0" applyFont="1" applyBorder="1" applyAlignment="1">
      <alignment/>
    </xf>
    <xf numFmtId="3" fontId="2" fillId="0" borderId="19" xfId="0" applyNumberFormat="1" applyFont="1" applyFill="1" applyBorder="1" applyAlignment="1">
      <alignment horizontal="center" vertical="top" wrapText="1"/>
    </xf>
    <xf numFmtId="1" fontId="2" fillId="0" borderId="19" xfId="0" applyNumberFormat="1" applyFont="1" applyFill="1" applyBorder="1" applyAlignment="1">
      <alignment horizontal="center" vertical="top" wrapText="1"/>
    </xf>
    <xf numFmtId="0" fontId="11" fillId="0" borderId="11" xfId="0" applyFont="1" applyFill="1" applyBorder="1" applyAlignment="1">
      <alignment vertical="justify" wrapText="1"/>
    </xf>
    <xf numFmtId="4" fontId="38" fillId="0" borderId="19" xfId="0" applyNumberFormat="1" applyFont="1" applyFill="1" applyBorder="1" applyAlignment="1">
      <alignment horizontal="center" vertical="top" wrapText="1"/>
    </xf>
    <xf numFmtId="3" fontId="38" fillId="0" borderId="19" xfId="0" applyNumberFormat="1" applyFont="1" applyFill="1" applyBorder="1" applyAlignment="1">
      <alignment horizontal="center" vertical="top" wrapText="1"/>
    </xf>
    <xf numFmtId="10" fontId="38" fillId="0" borderId="26" xfId="0" applyNumberFormat="1" applyFont="1" applyFill="1" applyBorder="1" applyAlignment="1">
      <alignment horizontal="center" vertical="top" wrapText="1"/>
    </xf>
    <xf numFmtId="3" fontId="38" fillId="0" borderId="26" xfId="0" applyNumberFormat="1" applyFont="1" applyFill="1" applyBorder="1" applyAlignment="1">
      <alignment horizontal="center" vertical="top" wrapText="1"/>
    </xf>
    <xf numFmtId="1" fontId="38" fillId="0" borderId="26" xfId="0" applyNumberFormat="1" applyFont="1" applyFill="1" applyBorder="1" applyAlignment="1">
      <alignment horizontal="center" vertical="top" wrapText="1"/>
    </xf>
    <xf numFmtId="0" fontId="38" fillId="0" borderId="26" xfId="0" applyFont="1" applyFill="1" applyBorder="1" applyAlignment="1">
      <alignment horizontal="center" vertical="top" wrapText="1"/>
    </xf>
    <xf numFmtId="0" fontId="2" fillId="0" borderId="26" xfId="0" applyFont="1" applyFill="1" applyBorder="1" applyAlignment="1">
      <alignment horizontal="center" vertical="top" wrapText="1"/>
    </xf>
    <xf numFmtId="0" fontId="2" fillId="0" borderId="26" xfId="0" applyFont="1" applyFill="1" applyBorder="1" applyAlignment="1">
      <alignment vertical="top" wrapText="1"/>
    </xf>
    <xf numFmtId="49" fontId="38" fillId="0" borderId="26" xfId="0" applyNumberFormat="1" applyFont="1" applyFill="1" applyBorder="1" applyAlignment="1">
      <alignment horizontal="center" vertical="top" wrapText="1"/>
    </xf>
    <xf numFmtId="4" fontId="38" fillId="0" borderId="11" xfId="0" applyNumberFormat="1" applyFont="1" applyFill="1" applyBorder="1" applyAlignment="1">
      <alignment horizontal="center" vertical="top" wrapText="1"/>
    </xf>
    <xf numFmtId="3" fontId="38" fillId="0" borderId="11" xfId="0" applyNumberFormat="1" applyFont="1" applyFill="1" applyBorder="1" applyAlignment="1">
      <alignment horizontal="center" vertical="top" wrapText="1"/>
    </xf>
    <xf numFmtId="4" fontId="3" fillId="0" borderId="24" xfId="0" applyNumberFormat="1" applyFont="1" applyFill="1" applyBorder="1" applyAlignment="1">
      <alignment horizontal="center" vertical="center" wrapText="1"/>
    </xf>
    <xf numFmtId="0" fontId="3" fillId="0" borderId="24" xfId="0" applyFont="1" applyFill="1" applyBorder="1" applyAlignment="1">
      <alignment vertical="center" wrapText="1"/>
    </xf>
    <xf numFmtId="0" fontId="3" fillId="0" borderId="26" xfId="0" applyFont="1" applyFill="1" applyBorder="1" applyAlignment="1">
      <alignment vertical="center" wrapText="1"/>
    </xf>
    <xf numFmtId="164" fontId="3" fillId="0" borderId="26" xfId="0" applyNumberFormat="1" applyFont="1" applyFill="1" applyBorder="1" applyAlignment="1">
      <alignment horizontal="right" vertical="center"/>
    </xf>
    <xf numFmtId="3" fontId="3" fillId="0" borderId="26" xfId="0" applyNumberFormat="1" applyFont="1" applyFill="1" applyBorder="1" applyAlignment="1">
      <alignment horizontal="center" vertical="center" wrapText="1"/>
    </xf>
    <xf numFmtId="10" fontId="3" fillId="0" borderId="26" xfId="0" applyNumberFormat="1" applyFont="1" applyFill="1" applyBorder="1" applyAlignment="1">
      <alignment horizontal="center" vertical="center" wrapText="1"/>
    </xf>
    <xf numFmtId="3" fontId="3" fillId="0" borderId="19" xfId="0" applyNumberFormat="1" applyFont="1" applyFill="1" applyBorder="1" applyAlignment="1">
      <alignment horizontal="center" vertical="center" wrapText="1"/>
    </xf>
    <xf numFmtId="3" fontId="3" fillId="0" borderId="26" xfId="0" applyNumberFormat="1" applyFont="1" applyFill="1" applyBorder="1" applyAlignment="1">
      <alignment vertical="center" wrapText="1"/>
    </xf>
    <xf numFmtId="1" fontId="3" fillId="0" borderId="19" xfId="0" applyNumberFormat="1" applyFont="1" applyFill="1" applyBorder="1" applyAlignment="1">
      <alignment vertical="center" wrapText="1"/>
    </xf>
    <xf numFmtId="0" fontId="5" fillId="0" borderId="0" xfId="0" applyFont="1" applyFill="1" applyAlignment="1">
      <alignment horizontal="center" vertical="top" wrapText="1" shrinkToFit="1"/>
    </xf>
    <xf numFmtId="0" fontId="5" fillId="0" borderId="0" xfId="0" applyFont="1" applyFill="1" applyAlignment="1">
      <alignment horizontal="center" vertical="center" wrapText="1" shrinkToFi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10" xfId="0" applyFont="1" applyFill="1" applyBorder="1" applyAlignment="1">
      <alignment horizontal="center" wrapText="1"/>
    </xf>
    <xf numFmtId="0" fontId="3" fillId="0" borderId="11" xfId="0" applyFont="1" applyFill="1" applyBorder="1" applyAlignment="1">
      <alignment horizontal="center" wrapText="1"/>
    </xf>
    <xf numFmtId="0" fontId="3" fillId="0" borderId="12" xfId="0" applyFont="1" applyFill="1" applyBorder="1" applyAlignment="1">
      <alignment horizontal="center" wrapText="1"/>
    </xf>
    <xf numFmtId="0" fontId="3" fillId="0" borderId="14" xfId="0" applyFont="1" applyFill="1" applyBorder="1" applyAlignment="1">
      <alignment horizontal="center" wrapText="1"/>
    </xf>
    <xf numFmtId="0" fontId="3" fillId="0" borderId="29" xfId="0" applyFont="1" applyFill="1" applyBorder="1" applyAlignment="1">
      <alignment horizontal="center" wrapText="1"/>
    </xf>
    <xf numFmtId="0" fontId="3" fillId="0" borderId="25" xfId="0" applyFont="1" applyFill="1" applyBorder="1" applyAlignment="1">
      <alignment horizontal="center" wrapText="1"/>
    </xf>
    <xf numFmtId="0" fontId="3" fillId="0" borderId="26" xfId="0" applyFont="1" applyFill="1" applyBorder="1" applyAlignment="1">
      <alignment horizontal="center" wrapText="1"/>
    </xf>
    <xf numFmtId="0" fontId="11" fillId="0" borderId="1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1" xfId="0" applyFont="1" applyFill="1" applyBorder="1" applyAlignment="1">
      <alignment horizontal="center" vertical="top" wrapText="1"/>
    </xf>
    <xf numFmtId="0" fontId="11" fillId="0" borderId="26" xfId="0" applyFont="1" applyFill="1" applyBorder="1" applyAlignment="1">
      <alignment horizontal="center" vertical="top" wrapText="1"/>
    </xf>
    <xf numFmtId="0" fontId="0" fillId="0" borderId="11" xfId="0" applyFont="1" applyFill="1" applyBorder="1" applyAlignment="1">
      <alignment horizontal="center" vertical="top" wrapText="1"/>
    </xf>
    <xf numFmtId="0" fontId="11" fillId="0" borderId="3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4" fontId="11" fillId="0" borderId="26" xfId="0" applyNumberFormat="1" applyFont="1" applyFill="1" applyBorder="1" applyAlignment="1">
      <alignment horizontal="center" vertical="center"/>
    </xf>
    <xf numFmtId="4" fontId="11" fillId="0" borderId="11" xfId="0" applyNumberFormat="1" applyFont="1" applyFill="1" applyBorder="1" applyAlignment="1">
      <alignment horizontal="center" vertical="center"/>
    </xf>
    <xf numFmtId="0" fontId="3" fillId="0" borderId="0" xfId="0" applyFont="1" applyFill="1" applyAlignment="1">
      <alignment horizontal="left" vertical="center" wrapText="1"/>
    </xf>
    <xf numFmtId="0" fontId="3" fillId="0" borderId="24"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11" fillId="0" borderId="33" xfId="0" applyFont="1" applyFill="1" applyBorder="1" applyAlignment="1">
      <alignment horizontal="center" vertical="center" wrapText="1"/>
    </xf>
    <xf numFmtId="0" fontId="5" fillId="0" borderId="0" xfId="0" applyFont="1" applyFill="1" applyBorder="1" applyAlignment="1">
      <alignment horizontal="center" vertical="top" wrapText="1" shrinkToFit="1"/>
    </xf>
    <xf numFmtId="0" fontId="15" fillId="0" borderId="0" xfId="0" applyFont="1" applyFill="1" applyAlignment="1">
      <alignment horizontal="left" vertical="center" wrapText="1"/>
    </xf>
    <xf numFmtId="164" fontId="11" fillId="0" borderId="0" xfId="0" applyNumberFormat="1" applyFont="1" applyFill="1" applyBorder="1" applyAlignment="1">
      <alignment horizontal="center" vertical="top" wrapText="1"/>
    </xf>
    <xf numFmtId="0" fontId="3" fillId="36" borderId="14" xfId="0" applyFont="1" applyFill="1" applyBorder="1" applyAlignment="1">
      <alignment horizontal="center" vertical="center" wrapText="1"/>
    </xf>
    <xf numFmtId="0" fontId="3" fillId="36" borderId="29" xfId="0" applyFont="1" applyFill="1" applyBorder="1" applyAlignment="1">
      <alignment horizontal="center" vertical="center" wrapText="1"/>
    </xf>
    <xf numFmtId="0" fontId="3" fillId="36" borderId="30" xfId="0" applyFont="1" applyFill="1" applyBorder="1" applyAlignment="1">
      <alignment horizontal="center" vertical="center" wrapText="1"/>
    </xf>
    <xf numFmtId="0" fontId="3" fillId="36" borderId="25" xfId="0" applyFont="1" applyFill="1" applyBorder="1" applyAlignment="1">
      <alignment horizontal="center" vertical="center" wrapText="1"/>
    </xf>
    <xf numFmtId="0" fontId="3" fillId="36" borderId="26" xfId="0" applyFont="1" applyFill="1" applyBorder="1" applyAlignment="1">
      <alignment horizontal="center" vertical="center" wrapText="1"/>
    </xf>
    <xf numFmtId="0" fontId="3" fillId="36" borderId="27" xfId="0" applyFont="1" applyFill="1" applyBorder="1" applyAlignment="1">
      <alignment horizontal="center" vertical="center" wrapText="1"/>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3" xfId="50"/>
    <cellStyle name="Currency" xfId="51"/>
    <cellStyle name="Currency [0]" xfId="52"/>
    <cellStyle name="Moneda [0] 2" xfId="53"/>
    <cellStyle name="Neutral" xfId="54"/>
    <cellStyle name="Normal 2" xfId="55"/>
    <cellStyle name="Normal 2 2" xfId="56"/>
    <cellStyle name="Normal_Libro2" xfId="57"/>
    <cellStyle name="Notas" xfId="58"/>
    <cellStyle name="Percent" xfId="59"/>
    <cellStyle name="Porcentual 2" xfId="60"/>
    <cellStyle name="Salida" xfId="61"/>
    <cellStyle name="Texto de advertencia" xfId="62"/>
    <cellStyle name="Texto explicativo" xfId="63"/>
    <cellStyle name="Título" xfId="64"/>
    <cellStyle name="Título 1" xfId="65"/>
    <cellStyle name="Título 2" xfId="66"/>
    <cellStyle name="Título 3" xfId="67"/>
    <cellStyle name="Total"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37</xdr:row>
      <xdr:rowOff>76200</xdr:rowOff>
    </xdr:from>
    <xdr:to>
      <xdr:col>17</xdr:col>
      <xdr:colOff>381000</xdr:colOff>
      <xdr:row>38</xdr:row>
      <xdr:rowOff>104775</xdr:rowOff>
    </xdr:to>
    <xdr:sp>
      <xdr:nvSpPr>
        <xdr:cNvPr id="1" name="Text Box 2"/>
        <xdr:cNvSpPr txBox="1">
          <a:spLocks noChangeArrowheads="1"/>
        </xdr:cNvSpPr>
      </xdr:nvSpPr>
      <xdr:spPr>
        <a:xfrm>
          <a:off x="1495425" y="37890450"/>
          <a:ext cx="15754350" cy="171450"/>
        </a:xfrm>
        <a:prstGeom prst="rect">
          <a:avLst/>
        </a:prstGeom>
        <a:noFill/>
        <a:ln w="9525" cmpd="sng">
          <a:noFill/>
        </a:ln>
      </xdr:spPr>
      <xdr:txBody>
        <a:bodyPr vertOverflow="clip" wrap="square" lIns="27432" tIns="22860" rIns="27432" bIns="0"/>
        <a:p>
          <a:pPr algn="l">
            <a:defRPr/>
          </a:pPr>
          <a:r>
            <a:rPr lang="en-US" cap="none" sz="1100" b="1" i="0" u="none" baseline="0">
              <a:solidFill>
                <a:srgbClr val="000000"/>
              </a:solidFill>
            </a:rPr>
            <a:t>“Este programa es público, ajeno a cualquier partido político. Queda prohibido el uso para fines distintos a los establecidos en el programa”.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U9"/>
  <sheetViews>
    <sheetView zoomScalePageLayoutView="0" workbookViewId="0" topLeftCell="A1">
      <selection activeCell="W11" sqref="W11"/>
    </sheetView>
  </sheetViews>
  <sheetFormatPr defaultColWidth="11.421875" defaultRowHeight="12.75"/>
  <cols>
    <col min="1" max="1" width="12.57421875" style="8" bestFit="1" customWidth="1"/>
    <col min="2" max="2" width="30.57421875" style="8" customWidth="1"/>
    <col min="3" max="7" width="3.00390625" style="12" bestFit="1" customWidth="1"/>
    <col min="8" max="21" width="3.00390625" style="8" bestFit="1" customWidth="1"/>
    <col min="22" max="16384" width="11.421875" style="8" customWidth="1"/>
  </cols>
  <sheetData>
    <row r="2" spans="1:2" ht="11.25">
      <c r="A2" s="9" t="s">
        <v>38</v>
      </c>
      <c r="B2" s="9" t="s">
        <v>39</v>
      </c>
    </row>
    <row r="3" spans="1:2" ht="56.25">
      <c r="A3" s="8" t="s">
        <v>31</v>
      </c>
      <c r="B3" s="8" t="s">
        <v>37</v>
      </c>
    </row>
    <row r="4" spans="1:2" ht="56.25">
      <c r="A4" s="8" t="s">
        <v>32</v>
      </c>
      <c r="B4" s="8" t="s">
        <v>35</v>
      </c>
    </row>
    <row r="5" spans="1:2" ht="45">
      <c r="A5" s="8" t="s">
        <v>33</v>
      </c>
      <c r="B5" s="8" t="s">
        <v>36</v>
      </c>
    </row>
    <row r="6" spans="3:21" ht="11.25">
      <c r="C6" s="13"/>
      <c r="D6" s="13"/>
      <c r="E6" s="13"/>
      <c r="F6" s="13"/>
      <c r="G6" s="13"/>
      <c r="H6" s="10"/>
      <c r="I6" s="10"/>
      <c r="J6" s="10"/>
      <c r="K6" s="10"/>
      <c r="L6" s="10"/>
      <c r="M6" s="10"/>
      <c r="N6" s="10"/>
      <c r="O6" s="10"/>
      <c r="P6" s="10"/>
      <c r="Q6" s="10"/>
      <c r="R6" s="10"/>
      <c r="S6" s="10"/>
      <c r="T6" s="10"/>
      <c r="U6" s="10"/>
    </row>
    <row r="7" spans="3:21" ht="89.25" customHeight="1">
      <c r="C7" s="14" t="s">
        <v>41</v>
      </c>
      <c r="D7" s="14" t="s">
        <v>42</v>
      </c>
      <c r="E7" s="14" t="s">
        <v>43</v>
      </c>
      <c r="F7" s="14" t="s">
        <v>44</v>
      </c>
      <c r="G7" s="14" t="s">
        <v>45</v>
      </c>
      <c r="H7" s="14" t="s">
        <v>52</v>
      </c>
      <c r="I7" s="14" t="s">
        <v>47</v>
      </c>
      <c r="J7" s="14" t="s">
        <v>48</v>
      </c>
      <c r="K7" s="14" t="s">
        <v>53</v>
      </c>
      <c r="L7" s="14" t="s">
        <v>49</v>
      </c>
      <c r="M7" s="14" t="s">
        <v>50</v>
      </c>
      <c r="N7" s="14" t="s">
        <v>54</v>
      </c>
      <c r="O7" s="14" t="s">
        <v>55</v>
      </c>
      <c r="P7" s="14" t="s">
        <v>56</v>
      </c>
      <c r="Q7" s="14" t="s">
        <v>57</v>
      </c>
      <c r="R7" s="14" t="s">
        <v>58</v>
      </c>
      <c r="S7" s="14" t="s">
        <v>59</v>
      </c>
      <c r="T7" s="14" t="s">
        <v>60</v>
      </c>
      <c r="U7" s="14" t="s">
        <v>61</v>
      </c>
    </row>
    <row r="8" spans="2:21" ht="11.25">
      <c r="B8" s="11" t="s">
        <v>40</v>
      </c>
      <c r="C8" s="20"/>
      <c r="D8" s="21"/>
      <c r="E8" s="21"/>
      <c r="F8" s="22"/>
      <c r="G8" s="15"/>
      <c r="H8" s="16"/>
      <c r="I8" s="17"/>
      <c r="J8" s="18"/>
      <c r="K8" s="19"/>
      <c r="L8" s="17"/>
      <c r="M8" s="18"/>
      <c r="N8" s="18"/>
      <c r="O8" s="19"/>
      <c r="P8" s="16"/>
      <c r="Q8" s="16"/>
      <c r="R8" s="16"/>
      <c r="S8" s="16"/>
      <c r="T8" s="16"/>
      <c r="U8" s="16"/>
    </row>
    <row r="9" spans="8:21" ht="127.5" customHeight="1">
      <c r="H9" s="12" t="s">
        <v>46</v>
      </c>
      <c r="I9" s="12"/>
      <c r="J9" s="12"/>
      <c r="K9" s="12" t="s">
        <v>51</v>
      </c>
      <c r="L9" s="12"/>
      <c r="M9" s="12"/>
      <c r="N9" s="12"/>
      <c r="O9" s="12"/>
      <c r="P9" s="12"/>
      <c r="Q9" s="12"/>
      <c r="R9" s="12"/>
      <c r="S9" s="12"/>
      <c r="T9" s="12"/>
      <c r="U9" s="12" t="s">
        <v>62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T84"/>
  <sheetViews>
    <sheetView view="pageBreakPreview" zoomScale="75" zoomScaleNormal="80" zoomScaleSheetLayoutView="75" zoomScalePageLayoutView="0" workbookViewId="0" topLeftCell="C76">
      <selection activeCell="L75" sqref="L75:P75"/>
    </sheetView>
  </sheetViews>
  <sheetFormatPr defaultColWidth="11.421875" defaultRowHeight="23.25" customHeight="1"/>
  <cols>
    <col min="1" max="1" width="6.421875" style="3" customWidth="1"/>
    <col min="2" max="2" width="14.00390625" style="5" customWidth="1"/>
    <col min="3" max="3" width="3.7109375" style="4" bestFit="1" customWidth="1"/>
    <col min="4" max="4" width="4.8515625" style="4" customWidth="1"/>
    <col min="5" max="5" width="11.7109375" style="5" customWidth="1"/>
    <col min="6" max="6" width="35.7109375" style="5" customWidth="1"/>
    <col min="7" max="7" width="11.140625" style="5" customWidth="1"/>
    <col min="8" max="8" width="11.57421875" style="5" customWidth="1"/>
    <col min="9" max="9" width="17.00390625" style="5" customWidth="1"/>
    <col min="10" max="11" width="3.7109375" style="4" customWidth="1"/>
    <col min="12" max="12" width="16.7109375" style="33" bestFit="1" customWidth="1"/>
    <col min="13" max="13" width="16.28125" style="4" bestFit="1" customWidth="1"/>
    <col min="14" max="14" width="16.00390625" style="4" bestFit="1" customWidth="1"/>
    <col min="15" max="15" width="16.140625" style="4" bestFit="1" customWidth="1"/>
    <col min="16" max="16" width="11.28125" style="4" customWidth="1"/>
    <col min="17" max="17" width="10.7109375" style="4" customWidth="1"/>
    <col min="18" max="18" width="9.421875" style="4" customWidth="1"/>
    <col min="19" max="19" width="10.7109375" style="4" customWidth="1"/>
    <col min="20" max="20" width="9.00390625" style="4" customWidth="1"/>
    <col min="21" max="21" width="9.57421875" style="4" customWidth="1"/>
    <col min="22" max="22" width="10.7109375" style="4" customWidth="1"/>
    <col min="23" max="23" width="8.8515625" style="4" customWidth="1"/>
    <col min="24" max="24" width="8.7109375" style="4" customWidth="1"/>
    <col min="25" max="25" width="10.421875" style="4" customWidth="1"/>
    <col min="26" max="26" width="29.421875" style="4" customWidth="1"/>
    <col min="27" max="27" width="50.28125" style="4" customWidth="1"/>
    <col min="28" max="28" width="64.57421875" style="5" customWidth="1"/>
    <col min="29" max="29" width="40.7109375" style="5" customWidth="1"/>
    <col min="30" max="30" width="35.8515625" style="4" customWidth="1"/>
    <col min="31" max="44" width="11.421875" style="4" customWidth="1"/>
    <col min="45" max="16384" width="11.421875" style="51" customWidth="1"/>
  </cols>
  <sheetData>
    <row r="1" spans="1:44" s="49" customFormat="1" ht="52.5" customHeight="1">
      <c r="A1" s="1"/>
      <c r="B1" s="382" t="s">
        <v>63</v>
      </c>
      <c r="C1" s="382"/>
      <c r="D1" s="382"/>
      <c r="E1" s="382"/>
      <c r="F1" s="382"/>
      <c r="G1" s="382"/>
      <c r="H1" s="382"/>
      <c r="I1" s="382"/>
      <c r="J1" s="382"/>
      <c r="K1" s="382"/>
      <c r="L1" s="382"/>
      <c r="M1" s="382"/>
      <c r="N1" s="382"/>
      <c r="O1" s="382"/>
      <c r="P1" s="382"/>
      <c r="Q1" s="382"/>
      <c r="R1" s="382"/>
      <c r="S1" s="382"/>
      <c r="T1" s="382"/>
      <c r="U1" s="382"/>
      <c r="V1" s="382"/>
      <c r="W1" s="382"/>
      <c r="X1" s="382"/>
      <c r="Y1" s="382"/>
      <c r="Z1" s="2"/>
      <c r="AA1" s="35" t="s">
        <v>85</v>
      </c>
      <c r="AB1" s="1"/>
      <c r="AC1" s="1"/>
      <c r="AD1" s="2"/>
      <c r="AE1" s="2"/>
      <c r="AF1" s="2"/>
      <c r="AG1" s="2"/>
      <c r="AH1" s="2"/>
      <c r="AI1" s="2"/>
      <c r="AJ1" s="2"/>
      <c r="AK1" s="2"/>
      <c r="AL1" s="2"/>
      <c r="AM1" s="2"/>
      <c r="AN1" s="2"/>
      <c r="AO1" s="2"/>
      <c r="AP1" s="2"/>
      <c r="AQ1" s="2"/>
      <c r="AR1" s="2"/>
    </row>
    <row r="2" spans="1:44" s="50" customFormat="1" ht="18">
      <c r="A2" s="23"/>
      <c r="B2" s="383" t="s">
        <v>70</v>
      </c>
      <c r="C2" s="383"/>
      <c r="D2" s="383"/>
      <c r="E2" s="383"/>
      <c r="F2" s="383"/>
      <c r="G2" s="383"/>
      <c r="H2" s="383"/>
      <c r="I2" s="383"/>
      <c r="J2" s="383"/>
      <c r="K2" s="383"/>
      <c r="L2" s="383"/>
      <c r="M2" s="383"/>
      <c r="N2" s="383"/>
      <c r="O2" s="383"/>
      <c r="P2" s="383"/>
      <c r="Q2" s="383"/>
      <c r="R2" s="383"/>
      <c r="S2" s="383"/>
      <c r="T2" s="383"/>
      <c r="U2" s="383"/>
      <c r="V2" s="383"/>
      <c r="W2" s="383"/>
      <c r="X2" s="383"/>
      <c r="Y2" s="383"/>
      <c r="Z2" s="24"/>
      <c r="AA2" s="24"/>
      <c r="AB2" s="23"/>
      <c r="AC2" s="23"/>
      <c r="AD2" s="24"/>
      <c r="AE2" s="24"/>
      <c r="AF2" s="24"/>
      <c r="AG2" s="24"/>
      <c r="AH2" s="24"/>
      <c r="AI2" s="24"/>
      <c r="AJ2" s="24"/>
      <c r="AK2" s="24"/>
      <c r="AL2" s="24"/>
      <c r="AM2" s="24"/>
      <c r="AN2" s="24"/>
      <c r="AO2" s="24"/>
      <c r="AP2" s="24"/>
      <c r="AQ2" s="24"/>
      <c r="AR2" s="24"/>
    </row>
    <row r="3" spans="13:21" ht="11.25">
      <c r="M3" s="7"/>
      <c r="N3" s="7"/>
      <c r="O3" s="7"/>
      <c r="P3" s="7"/>
      <c r="U3" s="6"/>
    </row>
    <row r="4" spans="14:21" ht="11.25">
      <c r="N4" s="7"/>
      <c r="U4" s="6"/>
    </row>
    <row r="5" spans="1:29" s="29" customFormat="1" ht="11.25">
      <c r="A5" s="384" t="s">
        <v>68</v>
      </c>
      <c r="B5" s="386" t="s">
        <v>12</v>
      </c>
      <c r="C5" s="387" t="s">
        <v>14</v>
      </c>
      <c r="D5" s="388"/>
      <c r="E5" s="389"/>
      <c r="F5" s="393" t="s">
        <v>0</v>
      </c>
      <c r="G5" s="394"/>
      <c r="H5" s="394"/>
      <c r="I5" s="395"/>
      <c r="J5" s="27"/>
      <c r="K5" s="27"/>
      <c r="L5" s="396" t="s">
        <v>69</v>
      </c>
      <c r="M5" s="397"/>
      <c r="N5" s="397"/>
      <c r="O5" s="397"/>
      <c r="P5" s="397"/>
      <c r="Q5" s="393" t="s">
        <v>4</v>
      </c>
      <c r="R5" s="394"/>
      <c r="S5" s="394"/>
      <c r="T5" s="394"/>
      <c r="U5" s="394"/>
      <c r="V5" s="395"/>
      <c r="W5" s="396" t="s">
        <v>23</v>
      </c>
      <c r="X5" s="397"/>
      <c r="Y5" s="384" t="s">
        <v>30</v>
      </c>
      <c r="Z5" s="384" t="s">
        <v>27</v>
      </c>
      <c r="AB5" s="37"/>
      <c r="AC5" s="37"/>
    </row>
    <row r="6" spans="1:29" s="29" customFormat="1" ht="22.5">
      <c r="A6" s="385"/>
      <c r="B6" s="386"/>
      <c r="C6" s="390"/>
      <c r="D6" s="391"/>
      <c r="E6" s="392"/>
      <c r="F6" s="384" t="s">
        <v>24</v>
      </c>
      <c r="G6" s="407" t="s">
        <v>5</v>
      </c>
      <c r="H6" s="408"/>
      <c r="I6" s="409"/>
      <c r="J6" s="30"/>
      <c r="K6" s="30"/>
      <c r="L6" s="398"/>
      <c r="M6" s="399"/>
      <c r="N6" s="399"/>
      <c r="O6" s="399"/>
      <c r="P6" s="399"/>
      <c r="Q6" s="386" t="s">
        <v>18</v>
      </c>
      <c r="R6" s="386"/>
      <c r="S6" s="31" t="s">
        <v>21</v>
      </c>
      <c r="T6" s="386" t="s">
        <v>64</v>
      </c>
      <c r="U6" s="386"/>
      <c r="V6" s="31" t="s">
        <v>21</v>
      </c>
      <c r="W6" s="398" t="s">
        <v>23</v>
      </c>
      <c r="X6" s="399"/>
      <c r="Y6" s="385"/>
      <c r="Z6" s="385"/>
      <c r="AB6" s="37"/>
      <c r="AC6" s="37"/>
    </row>
    <row r="7" spans="1:44" s="37" customFormat="1" ht="22.5">
      <c r="A7" s="385"/>
      <c r="B7" s="27" t="s">
        <v>13</v>
      </c>
      <c r="C7" s="27" t="s">
        <v>15</v>
      </c>
      <c r="D7" s="28"/>
      <c r="E7" s="27" t="s">
        <v>6</v>
      </c>
      <c r="F7" s="385"/>
      <c r="G7" s="27" t="s">
        <v>1</v>
      </c>
      <c r="H7" s="27" t="s">
        <v>2</v>
      </c>
      <c r="I7" s="27" t="s">
        <v>3</v>
      </c>
      <c r="J7" s="30" t="s">
        <v>17</v>
      </c>
      <c r="K7" s="30" t="s">
        <v>16</v>
      </c>
      <c r="L7" s="27" t="s">
        <v>7</v>
      </c>
      <c r="M7" s="27" t="s">
        <v>8</v>
      </c>
      <c r="N7" s="27" t="s">
        <v>9</v>
      </c>
      <c r="O7" s="27" t="s">
        <v>10</v>
      </c>
      <c r="P7" s="27" t="s">
        <v>11</v>
      </c>
      <c r="Q7" s="27" t="s">
        <v>19</v>
      </c>
      <c r="R7" s="27" t="s">
        <v>20</v>
      </c>
      <c r="S7" s="30" t="s">
        <v>34</v>
      </c>
      <c r="T7" s="27" t="s">
        <v>22</v>
      </c>
      <c r="U7" s="27" t="s">
        <v>20</v>
      </c>
      <c r="V7" s="30" t="s">
        <v>65</v>
      </c>
      <c r="W7" s="27" t="s">
        <v>26</v>
      </c>
      <c r="X7" s="27" t="s">
        <v>25</v>
      </c>
      <c r="Y7" s="385"/>
      <c r="Z7" s="385"/>
      <c r="AA7" s="32"/>
      <c r="AB7" s="32" t="s">
        <v>87</v>
      </c>
      <c r="AC7" s="32" t="s">
        <v>88</v>
      </c>
      <c r="AD7" s="32"/>
      <c r="AE7" s="32"/>
      <c r="AF7" s="32"/>
      <c r="AG7" s="32"/>
      <c r="AH7" s="32"/>
      <c r="AI7" s="32"/>
      <c r="AJ7" s="32"/>
      <c r="AK7" s="32"/>
      <c r="AL7" s="32"/>
      <c r="AM7" s="32"/>
      <c r="AN7" s="32"/>
      <c r="AO7" s="32"/>
      <c r="AP7" s="32"/>
      <c r="AQ7" s="32"/>
      <c r="AR7" s="32"/>
    </row>
    <row r="8" spans="1:44" s="47" customFormat="1" ht="76.5">
      <c r="A8" s="114" t="s">
        <v>90</v>
      </c>
      <c r="B8" s="114" t="s">
        <v>75</v>
      </c>
      <c r="C8" s="114" t="s">
        <v>67</v>
      </c>
      <c r="D8" s="115" t="s">
        <v>123</v>
      </c>
      <c r="E8" s="114" t="s">
        <v>97</v>
      </c>
      <c r="F8" s="114" t="s">
        <v>321</v>
      </c>
      <c r="G8" s="114" t="s">
        <v>272</v>
      </c>
      <c r="H8" s="114" t="s">
        <v>73</v>
      </c>
      <c r="I8" s="114" t="s">
        <v>74</v>
      </c>
      <c r="J8" s="116" t="s">
        <v>29</v>
      </c>
      <c r="K8" s="116" t="s">
        <v>28</v>
      </c>
      <c r="L8" s="117">
        <v>1750000</v>
      </c>
      <c r="M8" s="117">
        <f aca="true" t="shared" si="0" ref="M8:M16">ROUND(L8*0.65,2)</f>
        <v>1137500</v>
      </c>
      <c r="N8" s="117">
        <f aca="true" t="shared" si="1" ref="N8:N16">ROUND(L8*0.175,2)</f>
        <v>306250</v>
      </c>
      <c r="O8" s="117">
        <f aca="true" t="shared" si="2" ref="O8:O16">L8-M8-N8</f>
        <v>306250</v>
      </c>
      <c r="P8" s="117">
        <v>0</v>
      </c>
      <c r="Q8" s="114" t="s">
        <v>86</v>
      </c>
      <c r="R8" s="118">
        <v>1.5</v>
      </c>
      <c r="S8" s="119">
        <v>0</v>
      </c>
      <c r="T8" s="119">
        <f>U8/R8</f>
        <v>1</v>
      </c>
      <c r="U8" s="118">
        <f>R8</f>
        <v>1.5</v>
      </c>
      <c r="V8" s="119">
        <f>T8</f>
        <v>1</v>
      </c>
      <c r="W8" s="120">
        <v>50</v>
      </c>
      <c r="X8" s="120">
        <v>68</v>
      </c>
      <c r="Y8" s="121">
        <v>90</v>
      </c>
      <c r="Z8" s="114" t="s">
        <v>390</v>
      </c>
      <c r="AA8" s="122"/>
      <c r="AB8" s="78">
        <v>113</v>
      </c>
      <c r="AC8" s="78" t="s">
        <v>89</v>
      </c>
      <c r="AD8" s="123"/>
      <c r="AE8" s="123"/>
      <c r="AF8" s="123"/>
      <c r="AG8" s="123"/>
      <c r="AH8" s="123"/>
      <c r="AI8" s="123"/>
      <c r="AJ8" s="123"/>
      <c r="AK8" s="123"/>
      <c r="AL8" s="123"/>
      <c r="AM8" s="123"/>
      <c r="AN8" s="123"/>
      <c r="AO8" s="123"/>
      <c r="AP8" s="123"/>
      <c r="AQ8" s="123"/>
      <c r="AR8" s="124"/>
    </row>
    <row r="9" spans="1:29" s="47" customFormat="1" ht="63.75">
      <c r="A9" s="95" t="s">
        <v>90</v>
      </c>
      <c r="B9" s="95" t="s">
        <v>75</v>
      </c>
      <c r="C9" s="95" t="s">
        <v>67</v>
      </c>
      <c r="D9" s="125" t="s">
        <v>123</v>
      </c>
      <c r="E9" s="95" t="s">
        <v>97</v>
      </c>
      <c r="F9" s="95" t="s">
        <v>322</v>
      </c>
      <c r="G9" s="95" t="s">
        <v>272</v>
      </c>
      <c r="H9" s="95" t="s">
        <v>73</v>
      </c>
      <c r="I9" s="95" t="s">
        <v>76</v>
      </c>
      <c r="J9" s="126" t="s">
        <v>29</v>
      </c>
      <c r="K9" s="126" t="s">
        <v>28</v>
      </c>
      <c r="L9" s="127">
        <v>2040000</v>
      </c>
      <c r="M9" s="128">
        <f t="shared" si="0"/>
        <v>1326000</v>
      </c>
      <c r="N9" s="128">
        <f t="shared" si="1"/>
        <v>357000</v>
      </c>
      <c r="O9" s="128">
        <f t="shared" si="2"/>
        <v>357000</v>
      </c>
      <c r="P9" s="128">
        <v>0</v>
      </c>
      <c r="Q9" s="95" t="s">
        <v>86</v>
      </c>
      <c r="R9" s="129">
        <v>2</v>
      </c>
      <c r="S9" s="130">
        <v>0</v>
      </c>
      <c r="T9" s="130">
        <v>1</v>
      </c>
      <c r="U9" s="129">
        <f>R9</f>
        <v>2</v>
      </c>
      <c r="V9" s="130">
        <v>1</v>
      </c>
      <c r="W9" s="131">
        <v>31</v>
      </c>
      <c r="X9" s="131">
        <v>40</v>
      </c>
      <c r="Y9" s="132">
        <v>90</v>
      </c>
      <c r="Z9" s="95" t="s">
        <v>390</v>
      </c>
      <c r="AA9" s="47" t="s">
        <v>84</v>
      </c>
      <c r="AB9" s="133">
        <v>51</v>
      </c>
      <c r="AC9" s="133" t="s">
        <v>89</v>
      </c>
    </row>
    <row r="10" spans="1:44" s="47" customFormat="1" ht="63.75">
      <c r="A10" s="95" t="s">
        <v>90</v>
      </c>
      <c r="B10" s="95" t="s">
        <v>75</v>
      </c>
      <c r="C10" s="95" t="s">
        <v>66</v>
      </c>
      <c r="D10" s="134">
        <v>2</v>
      </c>
      <c r="E10" s="95" t="s">
        <v>72</v>
      </c>
      <c r="F10" s="95" t="s">
        <v>93</v>
      </c>
      <c r="G10" s="95" t="s">
        <v>272</v>
      </c>
      <c r="H10" s="95" t="s">
        <v>73</v>
      </c>
      <c r="I10" s="95" t="s">
        <v>92</v>
      </c>
      <c r="J10" s="126" t="s">
        <v>29</v>
      </c>
      <c r="K10" s="126" t="s">
        <v>28</v>
      </c>
      <c r="L10" s="127">
        <v>803000</v>
      </c>
      <c r="M10" s="128">
        <f t="shared" si="0"/>
        <v>521950</v>
      </c>
      <c r="N10" s="128">
        <f t="shared" si="1"/>
        <v>140525</v>
      </c>
      <c r="O10" s="128">
        <f t="shared" si="2"/>
        <v>140525</v>
      </c>
      <c r="P10" s="128">
        <v>0</v>
      </c>
      <c r="Q10" s="95" t="s">
        <v>77</v>
      </c>
      <c r="R10" s="129">
        <v>1</v>
      </c>
      <c r="S10" s="130">
        <v>0</v>
      </c>
      <c r="T10" s="130">
        <f>U10/R10</f>
        <v>1</v>
      </c>
      <c r="U10" s="129">
        <f>R10</f>
        <v>1</v>
      </c>
      <c r="V10" s="130">
        <f>T10</f>
        <v>1</v>
      </c>
      <c r="W10" s="131">
        <v>45</v>
      </c>
      <c r="X10" s="131">
        <v>46</v>
      </c>
      <c r="Y10" s="132">
        <v>45</v>
      </c>
      <c r="Z10" s="95" t="s">
        <v>282</v>
      </c>
      <c r="AA10" s="122" t="s">
        <v>82</v>
      </c>
      <c r="AB10" s="78">
        <v>94</v>
      </c>
      <c r="AC10" s="78" t="s">
        <v>91</v>
      </c>
      <c r="AD10" s="123"/>
      <c r="AE10" s="123"/>
      <c r="AF10" s="123"/>
      <c r="AG10" s="123"/>
      <c r="AH10" s="123"/>
      <c r="AI10" s="123"/>
      <c r="AJ10" s="123"/>
      <c r="AK10" s="123"/>
      <c r="AL10" s="123"/>
      <c r="AM10" s="123"/>
      <c r="AN10" s="123"/>
      <c r="AO10" s="123"/>
      <c r="AP10" s="123"/>
      <c r="AQ10" s="123"/>
      <c r="AR10" s="124"/>
    </row>
    <row r="11" spans="1:44" s="47" customFormat="1" ht="178.5">
      <c r="A11" s="95" t="s">
        <v>90</v>
      </c>
      <c r="B11" s="95" t="s">
        <v>75</v>
      </c>
      <c r="C11" s="95" t="s">
        <v>78</v>
      </c>
      <c r="D11" s="134">
        <v>6</v>
      </c>
      <c r="E11" s="95" t="s">
        <v>79</v>
      </c>
      <c r="F11" s="95" t="s">
        <v>253</v>
      </c>
      <c r="G11" s="95" t="s">
        <v>272</v>
      </c>
      <c r="H11" s="95" t="s">
        <v>73</v>
      </c>
      <c r="I11" s="95" t="s">
        <v>366</v>
      </c>
      <c r="J11" s="126" t="s">
        <v>29</v>
      </c>
      <c r="K11" s="126" t="s">
        <v>28</v>
      </c>
      <c r="L11" s="127">
        <v>850000</v>
      </c>
      <c r="M11" s="128">
        <f t="shared" si="0"/>
        <v>552500</v>
      </c>
      <c r="N11" s="128">
        <f t="shared" si="1"/>
        <v>148750</v>
      </c>
      <c r="O11" s="128">
        <f t="shared" si="2"/>
        <v>148750</v>
      </c>
      <c r="P11" s="128">
        <v>0</v>
      </c>
      <c r="Q11" s="95" t="s">
        <v>81</v>
      </c>
      <c r="R11" s="129">
        <v>1</v>
      </c>
      <c r="S11" s="130">
        <v>0</v>
      </c>
      <c r="T11" s="130">
        <v>1</v>
      </c>
      <c r="U11" s="129">
        <f>R11</f>
        <v>1</v>
      </c>
      <c r="V11" s="130">
        <v>1</v>
      </c>
      <c r="W11" s="131" t="s">
        <v>367</v>
      </c>
      <c r="X11" s="131" t="s">
        <v>368</v>
      </c>
      <c r="Y11" s="132">
        <v>120</v>
      </c>
      <c r="Z11" s="36" t="s">
        <v>80</v>
      </c>
      <c r="AA11" s="122" t="s">
        <v>83</v>
      </c>
      <c r="AB11" s="78">
        <v>112</v>
      </c>
      <c r="AC11" s="78" t="s">
        <v>91</v>
      </c>
      <c r="AD11" s="123"/>
      <c r="AE11" s="123"/>
      <c r="AF11" s="123"/>
      <c r="AG11" s="123"/>
      <c r="AH11" s="123"/>
      <c r="AI11" s="123"/>
      <c r="AJ11" s="123"/>
      <c r="AK11" s="123"/>
      <c r="AL11" s="123"/>
      <c r="AM11" s="123"/>
      <c r="AN11" s="123"/>
      <c r="AO11" s="123"/>
      <c r="AP11" s="123"/>
      <c r="AQ11" s="123"/>
      <c r="AR11" s="124"/>
    </row>
    <row r="12" spans="1:30" s="47" customFormat="1" ht="114.75">
      <c r="A12" s="95" t="s">
        <v>90</v>
      </c>
      <c r="B12" s="95" t="s">
        <v>94</v>
      </c>
      <c r="C12" s="95" t="s">
        <v>95</v>
      </c>
      <c r="D12" s="95" t="s">
        <v>96</v>
      </c>
      <c r="E12" s="95" t="s">
        <v>97</v>
      </c>
      <c r="F12" s="95" t="s">
        <v>332</v>
      </c>
      <c r="G12" s="36" t="s">
        <v>272</v>
      </c>
      <c r="H12" s="95" t="s">
        <v>269</v>
      </c>
      <c r="I12" s="95" t="s">
        <v>98</v>
      </c>
      <c r="J12" s="126" t="s">
        <v>29</v>
      </c>
      <c r="K12" s="126" t="s">
        <v>28</v>
      </c>
      <c r="L12" s="135">
        <v>1484224.86</v>
      </c>
      <c r="M12" s="135">
        <f t="shared" si="0"/>
        <v>964746.16</v>
      </c>
      <c r="N12" s="135">
        <f t="shared" si="1"/>
        <v>259739.35</v>
      </c>
      <c r="O12" s="135">
        <f t="shared" si="2"/>
        <v>259739.35000000006</v>
      </c>
      <c r="P12" s="135">
        <v>0</v>
      </c>
      <c r="Q12" s="95" t="s">
        <v>99</v>
      </c>
      <c r="R12" s="129">
        <v>14.6</v>
      </c>
      <c r="S12" s="130">
        <v>0</v>
      </c>
      <c r="T12" s="130">
        <f>U12/R12</f>
        <v>1</v>
      </c>
      <c r="U12" s="129">
        <v>14.6</v>
      </c>
      <c r="V12" s="130">
        <f>T12</f>
        <v>1</v>
      </c>
      <c r="W12" s="131" t="s">
        <v>100</v>
      </c>
      <c r="X12" s="131" t="s">
        <v>101</v>
      </c>
      <c r="Y12" s="132">
        <v>120</v>
      </c>
      <c r="Z12" s="95" t="s">
        <v>333</v>
      </c>
      <c r="AB12" s="133" t="s">
        <v>102</v>
      </c>
      <c r="AC12" s="133" t="s">
        <v>103</v>
      </c>
      <c r="AD12" s="47" t="s">
        <v>104</v>
      </c>
    </row>
    <row r="13" spans="1:29" s="47" customFormat="1" ht="63.75">
      <c r="A13" s="95" t="s">
        <v>90</v>
      </c>
      <c r="B13" s="95" t="s">
        <v>94</v>
      </c>
      <c r="C13" s="95" t="s">
        <v>66</v>
      </c>
      <c r="D13" s="125">
        <v>2</v>
      </c>
      <c r="E13" s="95" t="s">
        <v>72</v>
      </c>
      <c r="F13" s="95" t="s">
        <v>271</v>
      </c>
      <c r="G13" s="36" t="s">
        <v>272</v>
      </c>
      <c r="H13" s="95" t="s">
        <v>269</v>
      </c>
      <c r="I13" s="95" t="s">
        <v>270</v>
      </c>
      <c r="J13" s="126" t="s">
        <v>29</v>
      </c>
      <c r="K13" s="126" t="s">
        <v>28</v>
      </c>
      <c r="L13" s="136">
        <v>900000</v>
      </c>
      <c r="M13" s="135">
        <f t="shared" si="0"/>
        <v>585000</v>
      </c>
      <c r="N13" s="135">
        <f t="shared" si="1"/>
        <v>157500</v>
      </c>
      <c r="O13" s="135">
        <f t="shared" si="2"/>
        <v>157500</v>
      </c>
      <c r="P13" s="135">
        <v>0</v>
      </c>
      <c r="Q13" s="95" t="s">
        <v>77</v>
      </c>
      <c r="R13" s="129">
        <v>1</v>
      </c>
      <c r="S13" s="130">
        <v>0</v>
      </c>
      <c r="T13" s="130">
        <v>1</v>
      </c>
      <c r="U13" s="129">
        <v>1</v>
      </c>
      <c r="V13" s="130">
        <v>1</v>
      </c>
      <c r="W13" s="131">
        <f>201*0.4</f>
        <v>80.4</v>
      </c>
      <c r="X13" s="131">
        <f>201*0.6</f>
        <v>120.6</v>
      </c>
      <c r="Y13" s="132">
        <v>100</v>
      </c>
      <c r="Z13" s="36" t="s">
        <v>105</v>
      </c>
      <c r="AA13" s="48" t="s">
        <v>106</v>
      </c>
      <c r="AB13" s="133">
        <v>190</v>
      </c>
      <c r="AC13" s="133" t="s">
        <v>91</v>
      </c>
    </row>
    <row r="14" spans="1:29" s="47" customFormat="1" ht="63.75">
      <c r="A14" s="95" t="s">
        <v>90</v>
      </c>
      <c r="B14" s="95" t="s">
        <v>94</v>
      </c>
      <c r="C14" s="95" t="s">
        <v>66</v>
      </c>
      <c r="D14" s="125">
        <v>2</v>
      </c>
      <c r="E14" s="95" t="s">
        <v>72</v>
      </c>
      <c r="F14" s="95" t="s">
        <v>107</v>
      </c>
      <c r="G14" s="36" t="s">
        <v>272</v>
      </c>
      <c r="H14" s="95" t="s">
        <v>269</v>
      </c>
      <c r="I14" s="95" t="s">
        <v>108</v>
      </c>
      <c r="J14" s="126" t="s">
        <v>29</v>
      </c>
      <c r="K14" s="126" t="s">
        <v>28</v>
      </c>
      <c r="L14" s="136">
        <v>1500000</v>
      </c>
      <c r="M14" s="135">
        <f t="shared" si="0"/>
        <v>975000</v>
      </c>
      <c r="N14" s="135">
        <f t="shared" si="1"/>
        <v>262500</v>
      </c>
      <c r="O14" s="135">
        <f t="shared" si="2"/>
        <v>262500</v>
      </c>
      <c r="P14" s="135">
        <v>0</v>
      </c>
      <c r="Q14" s="95" t="s">
        <v>77</v>
      </c>
      <c r="R14" s="129">
        <v>1</v>
      </c>
      <c r="S14" s="130">
        <v>0</v>
      </c>
      <c r="T14" s="130">
        <f>U14/R14</f>
        <v>1</v>
      </c>
      <c r="U14" s="129">
        <v>1</v>
      </c>
      <c r="V14" s="130">
        <f>T14</f>
        <v>1</v>
      </c>
      <c r="W14" s="131">
        <f>237*0.4</f>
        <v>94.80000000000001</v>
      </c>
      <c r="X14" s="131">
        <f>237*0.6</f>
        <v>142.2</v>
      </c>
      <c r="Y14" s="132">
        <v>130</v>
      </c>
      <c r="Z14" s="36" t="s">
        <v>105</v>
      </c>
      <c r="AA14" s="48" t="s">
        <v>106</v>
      </c>
      <c r="AB14" s="133">
        <v>274</v>
      </c>
      <c r="AC14" s="133" t="s">
        <v>91</v>
      </c>
    </row>
    <row r="15" spans="1:44" s="52" customFormat="1" ht="63.75">
      <c r="A15" s="95" t="s">
        <v>90</v>
      </c>
      <c r="B15" s="95" t="s">
        <v>94</v>
      </c>
      <c r="C15" s="36" t="s">
        <v>66</v>
      </c>
      <c r="D15" s="125">
        <v>2</v>
      </c>
      <c r="E15" s="95" t="s">
        <v>72</v>
      </c>
      <c r="F15" s="95" t="s">
        <v>109</v>
      </c>
      <c r="G15" s="36" t="s">
        <v>272</v>
      </c>
      <c r="H15" s="95" t="s">
        <v>269</v>
      </c>
      <c r="I15" s="95" t="s">
        <v>110</v>
      </c>
      <c r="J15" s="126" t="s">
        <v>29</v>
      </c>
      <c r="K15" s="126" t="s">
        <v>28</v>
      </c>
      <c r="L15" s="137">
        <v>1100000</v>
      </c>
      <c r="M15" s="137">
        <f t="shared" si="0"/>
        <v>715000</v>
      </c>
      <c r="N15" s="137">
        <f t="shared" si="1"/>
        <v>192500</v>
      </c>
      <c r="O15" s="137">
        <f t="shared" si="2"/>
        <v>192500</v>
      </c>
      <c r="P15" s="135">
        <v>0</v>
      </c>
      <c r="Q15" s="95" t="s">
        <v>77</v>
      </c>
      <c r="R15" s="129">
        <v>1</v>
      </c>
      <c r="S15" s="100">
        <v>0</v>
      </c>
      <c r="T15" s="101">
        <v>1</v>
      </c>
      <c r="U15" s="99">
        <v>1</v>
      </c>
      <c r="V15" s="102">
        <v>1</v>
      </c>
      <c r="W15" s="131">
        <f>264*0.4</f>
        <v>105.60000000000001</v>
      </c>
      <c r="X15" s="131">
        <f>264*0.6</f>
        <v>158.4</v>
      </c>
      <c r="Y15" s="36">
        <v>120</v>
      </c>
      <c r="Z15" s="36" t="s">
        <v>105</v>
      </c>
      <c r="AA15" s="48" t="s">
        <v>111</v>
      </c>
      <c r="AB15" s="53">
        <v>266</v>
      </c>
      <c r="AC15" s="53" t="s">
        <v>91</v>
      </c>
      <c r="AD15" s="48"/>
      <c r="AE15" s="48"/>
      <c r="AF15" s="48"/>
      <c r="AG15" s="48"/>
      <c r="AH15" s="48"/>
      <c r="AI15" s="48"/>
      <c r="AJ15" s="48"/>
      <c r="AK15" s="48"/>
      <c r="AL15" s="48"/>
      <c r="AM15" s="48"/>
      <c r="AN15" s="48"/>
      <c r="AO15" s="48"/>
      <c r="AP15" s="48"/>
      <c r="AQ15" s="48"/>
      <c r="AR15" s="48"/>
    </row>
    <row r="16" spans="1:44" s="52" customFormat="1" ht="76.5">
      <c r="A16" s="95" t="s">
        <v>90</v>
      </c>
      <c r="B16" s="95" t="s">
        <v>94</v>
      </c>
      <c r="C16" s="36" t="s">
        <v>66</v>
      </c>
      <c r="D16" s="125">
        <v>2</v>
      </c>
      <c r="E16" s="95" t="s">
        <v>72</v>
      </c>
      <c r="F16" s="95" t="s">
        <v>273</v>
      </c>
      <c r="G16" s="36" t="s">
        <v>272</v>
      </c>
      <c r="H16" s="95" t="s">
        <v>269</v>
      </c>
      <c r="I16" s="95" t="s">
        <v>112</v>
      </c>
      <c r="J16" s="126" t="s">
        <v>29</v>
      </c>
      <c r="K16" s="126" t="s">
        <v>28</v>
      </c>
      <c r="L16" s="137">
        <v>1350000</v>
      </c>
      <c r="M16" s="137">
        <f t="shared" si="0"/>
        <v>877500</v>
      </c>
      <c r="N16" s="137">
        <f t="shared" si="1"/>
        <v>236250</v>
      </c>
      <c r="O16" s="137">
        <f t="shared" si="2"/>
        <v>236250</v>
      </c>
      <c r="P16" s="135">
        <v>0</v>
      </c>
      <c r="Q16" s="95" t="s">
        <v>77</v>
      </c>
      <c r="R16" s="129">
        <v>1</v>
      </c>
      <c r="S16" s="100">
        <v>0</v>
      </c>
      <c r="T16" s="101">
        <v>1</v>
      </c>
      <c r="U16" s="99">
        <v>1</v>
      </c>
      <c r="V16" s="102">
        <v>1</v>
      </c>
      <c r="W16" s="131">
        <f>364*0.4</f>
        <v>145.6</v>
      </c>
      <c r="X16" s="131">
        <f>364*0.6</f>
        <v>218.4</v>
      </c>
      <c r="Y16" s="36">
        <v>120</v>
      </c>
      <c r="Z16" s="36" t="s">
        <v>105</v>
      </c>
      <c r="AA16" s="48" t="s">
        <v>113</v>
      </c>
      <c r="AB16" s="53">
        <v>294</v>
      </c>
      <c r="AC16" s="53" t="s">
        <v>91</v>
      </c>
      <c r="AD16" s="48" t="s">
        <v>114</v>
      </c>
      <c r="AE16" s="48"/>
      <c r="AF16" s="48"/>
      <c r="AG16" s="48"/>
      <c r="AH16" s="48"/>
      <c r="AI16" s="48"/>
      <c r="AJ16" s="48"/>
      <c r="AK16" s="48"/>
      <c r="AL16" s="48"/>
      <c r="AM16" s="48"/>
      <c r="AN16" s="48"/>
      <c r="AO16" s="48"/>
      <c r="AP16" s="48"/>
      <c r="AQ16" s="48"/>
      <c r="AR16" s="48"/>
    </row>
    <row r="17" spans="1:30" s="47" customFormat="1" ht="63.75">
      <c r="A17" s="95" t="s">
        <v>90</v>
      </c>
      <c r="B17" s="95" t="s">
        <v>94</v>
      </c>
      <c r="C17" s="95" t="s">
        <v>118</v>
      </c>
      <c r="D17" s="138" t="s">
        <v>119</v>
      </c>
      <c r="E17" s="95" t="s">
        <v>97</v>
      </c>
      <c r="F17" s="95" t="s">
        <v>255</v>
      </c>
      <c r="G17" s="36" t="s">
        <v>272</v>
      </c>
      <c r="H17" s="95" t="s">
        <v>269</v>
      </c>
      <c r="I17" s="95" t="s">
        <v>112</v>
      </c>
      <c r="J17" s="126" t="s">
        <v>29</v>
      </c>
      <c r="K17" s="126" t="s">
        <v>28</v>
      </c>
      <c r="L17" s="137">
        <v>2617916.26</v>
      </c>
      <c r="M17" s="135">
        <f>ROUND(L17*0.65,2)</f>
        <v>1701645.57</v>
      </c>
      <c r="N17" s="135">
        <f>ROUND(L17*0.175,2)</f>
        <v>458135.35</v>
      </c>
      <c r="O17" s="135">
        <f>L17-M17-N17</f>
        <v>458135.33999999973</v>
      </c>
      <c r="P17" s="135">
        <v>0</v>
      </c>
      <c r="Q17" s="95" t="s">
        <v>77</v>
      </c>
      <c r="R17" s="129">
        <v>1</v>
      </c>
      <c r="S17" s="130">
        <v>0</v>
      </c>
      <c r="T17" s="130">
        <f>U17/R17</f>
        <v>1</v>
      </c>
      <c r="U17" s="129">
        <v>1</v>
      </c>
      <c r="V17" s="130">
        <f>T17</f>
        <v>1</v>
      </c>
      <c r="W17" s="131">
        <v>168</v>
      </c>
      <c r="X17" s="131">
        <v>196</v>
      </c>
      <c r="Y17" s="132">
        <v>120</v>
      </c>
      <c r="Z17" s="36" t="s">
        <v>254</v>
      </c>
      <c r="AA17" s="47" t="s">
        <v>120</v>
      </c>
      <c r="AB17" s="133"/>
      <c r="AC17" s="133"/>
      <c r="AD17" s="47" t="s">
        <v>121</v>
      </c>
    </row>
    <row r="18" spans="1:46" s="148" customFormat="1" ht="89.25">
      <c r="A18" s="73" t="s">
        <v>90</v>
      </c>
      <c r="B18" s="73" t="s">
        <v>122</v>
      </c>
      <c r="C18" s="73" t="s">
        <v>78</v>
      </c>
      <c r="D18" s="139" t="s">
        <v>123</v>
      </c>
      <c r="E18" s="73" t="s">
        <v>124</v>
      </c>
      <c r="F18" s="73" t="s">
        <v>265</v>
      </c>
      <c r="G18" s="73" t="s">
        <v>272</v>
      </c>
      <c r="H18" s="73" t="s">
        <v>125</v>
      </c>
      <c r="I18" s="73" t="s">
        <v>126</v>
      </c>
      <c r="J18" s="140" t="s">
        <v>117</v>
      </c>
      <c r="K18" s="140" t="s">
        <v>28</v>
      </c>
      <c r="L18" s="141">
        <v>3643330</v>
      </c>
      <c r="M18" s="141">
        <f>L18*0.65</f>
        <v>2368164.5</v>
      </c>
      <c r="N18" s="141">
        <f>L18*0.175</f>
        <v>637582.75</v>
      </c>
      <c r="O18" s="141">
        <f>L18*0.175</f>
        <v>637582.75</v>
      </c>
      <c r="P18" s="141">
        <v>0</v>
      </c>
      <c r="Q18" s="73" t="s">
        <v>86</v>
      </c>
      <c r="R18" s="142">
        <v>5</v>
      </c>
      <c r="S18" s="143">
        <v>0</v>
      </c>
      <c r="T18" s="143">
        <f>U18/R18</f>
        <v>0.21200000000000002</v>
      </c>
      <c r="U18" s="142">
        <v>1.06</v>
      </c>
      <c r="V18" s="143">
        <f>T18</f>
        <v>0.21200000000000002</v>
      </c>
      <c r="W18" s="144" t="s">
        <v>127</v>
      </c>
      <c r="X18" s="144" t="s">
        <v>128</v>
      </c>
      <c r="Y18" s="145">
        <v>180</v>
      </c>
      <c r="Z18" s="73" t="s">
        <v>266</v>
      </c>
      <c r="AA18" s="59" t="s">
        <v>129</v>
      </c>
      <c r="AB18" s="146" t="s">
        <v>130</v>
      </c>
      <c r="AC18" s="59"/>
      <c r="AD18" s="59"/>
      <c r="AE18" s="59"/>
      <c r="AF18" s="59"/>
      <c r="AG18" s="59"/>
      <c r="AH18" s="59"/>
      <c r="AI18" s="59"/>
      <c r="AJ18" s="59"/>
      <c r="AK18" s="59"/>
      <c r="AL18" s="59"/>
      <c r="AM18" s="59"/>
      <c r="AN18" s="59"/>
      <c r="AO18" s="59"/>
      <c r="AP18" s="59"/>
      <c r="AQ18" s="59"/>
      <c r="AR18" s="59"/>
      <c r="AS18" s="59"/>
      <c r="AT18" s="147"/>
    </row>
    <row r="19" spans="1:29" s="59" customFormat="1" ht="165.75">
      <c r="A19" s="73" t="s">
        <v>90</v>
      </c>
      <c r="B19" s="73" t="s">
        <v>122</v>
      </c>
      <c r="C19" s="73" t="s">
        <v>78</v>
      </c>
      <c r="D19" s="139" t="s">
        <v>123</v>
      </c>
      <c r="E19" s="73" t="s">
        <v>124</v>
      </c>
      <c r="F19" s="73" t="s">
        <v>131</v>
      </c>
      <c r="G19" s="73" t="s">
        <v>272</v>
      </c>
      <c r="H19" s="73" t="s">
        <v>132</v>
      </c>
      <c r="I19" s="73" t="s">
        <v>133</v>
      </c>
      <c r="J19" s="140" t="s">
        <v>29</v>
      </c>
      <c r="K19" s="140" t="s">
        <v>28</v>
      </c>
      <c r="L19" s="149">
        <v>10212235.69</v>
      </c>
      <c r="M19" s="141">
        <f>ROUND(L19*0.65,2)</f>
        <v>6637953.2</v>
      </c>
      <c r="N19" s="141">
        <f>ROUND(L19*0.175,2)</f>
        <v>1787141.25</v>
      </c>
      <c r="O19" s="141">
        <f>L19-M19-N19</f>
        <v>1787141.2399999993</v>
      </c>
      <c r="P19" s="141">
        <v>0</v>
      </c>
      <c r="Q19" s="73" t="s">
        <v>86</v>
      </c>
      <c r="R19" s="142">
        <v>3</v>
      </c>
      <c r="S19" s="143">
        <v>0</v>
      </c>
      <c r="T19" s="143">
        <f>U19/R19</f>
        <v>1</v>
      </c>
      <c r="U19" s="142">
        <f>R19</f>
        <v>3</v>
      </c>
      <c r="V19" s="143">
        <f>T19</f>
        <v>1</v>
      </c>
      <c r="W19" s="144">
        <v>153</v>
      </c>
      <c r="X19" s="144">
        <v>162</v>
      </c>
      <c r="Y19" s="145">
        <v>150</v>
      </c>
      <c r="Z19" s="55" t="s">
        <v>134</v>
      </c>
      <c r="AA19" s="59" t="s">
        <v>129</v>
      </c>
      <c r="AB19" s="56"/>
      <c r="AC19" s="59" t="s">
        <v>135</v>
      </c>
    </row>
    <row r="20" spans="1:26" s="47" customFormat="1" ht="63.75">
      <c r="A20" s="95" t="s">
        <v>90</v>
      </c>
      <c r="B20" s="95" t="s">
        <v>122</v>
      </c>
      <c r="C20" s="95" t="s">
        <v>67</v>
      </c>
      <c r="D20" s="134" t="s">
        <v>71</v>
      </c>
      <c r="E20" s="95" t="s">
        <v>72</v>
      </c>
      <c r="F20" s="95" t="s">
        <v>136</v>
      </c>
      <c r="G20" s="95" t="s">
        <v>272</v>
      </c>
      <c r="H20" s="95" t="s">
        <v>132</v>
      </c>
      <c r="I20" s="95" t="s">
        <v>137</v>
      </c>
      <c r="J20" s="126" t="s">
        <v>29</v>
      </c>
      <c r="K20" s="126" t="s">
        <v>28</v>
      </c>
      <c r="L20" s="150">
        <v>1095873.71</v>
      </c>
      <c r="M20" s="128">
        <f>ROUND(L20*0.65,2)</f>
        <v>712317.91</v>
      </c>
      <c r="N20" s="128">
        <f>ROUND(L20*0.175,2)</f>
        <v>191777.9</v>
      </c>
      <c r="O20" s="128">
        <f>L20-M20-N20</f>
        <v>191777.89999999994</v>
      </c>
      <c r="P20" s="128">
        <v>0</v>
      </c>
      <c r="Q20" s="95" t="s">
        <v>138</v>
      </c>
      <c r="R20" s="129">
        <v>16</v>
      </c>
      <c r="S20" s="130">
        <v>0</v>
      </c>
      <c r="T20" s="130">
        <f>U20/R20</f>
        <v>1</v>
      </c>
      <c r="U20" s="129">
        <f>R20</f>
        <v>16</v>
      </c>
      <c r="V20" s="130">
        <f>T20</f>
        <v>1</v>
      </c>
      <c r="W20" s="131">
        <v>50</v>
      </c>
      <c r="X20" s="131">
        <v>50</v>
      </c>
      <c r="Y20" s="132">
        <v>120</v>
      </c>
      <c r="Z20" s="36" t="s">
        <v>320</v>
      </c>
    </row>
    <row r="21" spans="1:27" s="47" customFormat="1" ht="63.75">
      <c r="A21" s="95" t="s">
        <v>90</v>
      </c>
      <c r="B21" s="95" t="s">
        <v>139</v>
      </c>
      <c r="C21" s="95" t="s">
        <v>140</v>
      </c>
      <c r="D21" s="95" t="s">
        <v>141</v>
      </c>
      <c r="E21" s="95" t="s">
        <v>72</v>
      </c>
      <c r="F21" s="95" t="s">
        <v>142</v>
      </c>
      <c r="G21" s="95" t="s">
        <v>283</v>
      </c>
      <c r="H21" s="95" t="s">
        <v>144</v>
      </c>
      <c r="I21" s="150" t="s">
        <v>312</v>
      </c>
      <c r="J21" s="126" t="s">
        <v>29</v>
      </c>
      <c r="K21" s="126" t="s">
        <v>28</v>
      </c>
      <c r="L21" s="151">
        <v>820000</v>
      </c>
      <c r="M21" s="151">
        <f aca="true" t="shared" si="3" ref="M21:M35">ROUND(L21*0.65,2)</f>
        <v>533000</v>
      </c>
      <c r="N21" s="151">
        <f aca="true" t="shared" si="4" ref="N21:N35">ROUND(L21*17.5%,2)</f>
        <v>143500</v>
      </c>
      <c r="O21" s="151">
        <f aca="true" t="shared" si="5" ref="O21:O35">L21-M21-N21</f>
        <v>143500</v>
      </c>
      <c r="P21" s="151">
        <v>0</v>
      </c>
      <c r="Q21" s="150" t="s">
        <v>145</v>
      </c>
      <c r="R21" s="152">
        <v>16</v>
      </c>
      <c r="S21" s="130">
        <v>0</v>
      </c>
      <c r="T21" s="130">
        <f aca="true" t="shared" si="6" ref="T21:T33">U21/R21</f>
        <v>1</v>
      </c>
      <c r="U21" s="150">
        <f aca="true" t="shared" si="7" ref="U21:U33">+R21</f>
        <v>16</v>
      </c>
      <c r="V21" s="130">
        <v>1</v>
      </c>
      <c r="W21" s="131">
        <f>125*0.65</f>
        <v>81.25</v>
      </c>
      <c r="X21" s="131">
        <f>125-W21</f>
        <v>43.75</v>
      </c>
      <c r="Y21" s="132">
        <v>90</v>
      </c>
      <c r="Z21" s="95" t="s">
        <v>313</v>
      </c>
      <c r="AA21" s="54"/>
    </row>
    <row r="22" spans="1:27" s="47" customFormat="1" ht="63.75">
      <c r="A22" s="95" t="s">
        <v>90</v>
      </c>
      <c r="B22" s="95" t="s">
        <v>139</v>
      </c>
      <c r="C22" s="95" t="s">
        <v>140</v>
      </c>
      <c r="D22" s="95" t="s">
        <v>141</v>
      </c>
      <c r="E22" s="95" t="s">
        <v>72</v>
      </c>
      <c r="F22" s="95" t="s">
        <v>314</v>
      </c>
      <c r="G22" s="95" t="s">
        <v>283</v>
      </c>
      <c r="H22" s="95" t="s">
        <v>144</v>
      </c>
      <c r="I22" s="150" t="s">
        <v>146</v>
      </c>
      <c r="J22" s="126" t="s">
        <v>29</v>
      </c>
      <c r="K22" s="126" t="s">
        <v>28</v>
      </c>
      <c r="L22" s="151">
        <v>1565000</v>
      </c>
      <c r="M22" s="151">
        <f t="shared" si="3"/>
        <v>1017250</v>
      </c>
      <c r="N22" s="151">
        <f t="shared" si="4"/>
        <v>273875</v>
      </c>
      <c r="O22" s="151">
        <f t="shared" si="5"/>
        <v>273875</v>
      </c>
      <c r="P22" s="151">
        <v>0</v>
      </c>
      <c r="Q22" s="150" t="s">
        <v>145</v>
      </c>
      <c r="R22" s="152">
        <v>31</v>
      </c>
      <c r="S22" s="130">
        <v>0</v>
      </c>
      <c r="T22" s="130">
        <f t="shared" si="6"/>
        <v>1</v>
      </c>
      <c r="U22" s="150">
        <f t="shared" si="7"/>
        <v>31</v>
      </c>
      <c r="V22" s="130">
        <v>1</v>
      </c>
      <c r="W22" s="131">
        <f>160*0.65</f>
        <v>104</v>
      </c>
      <c r="X22" s="131">
        <f>160-W22</f>
        <v>56</v>
      </c>
      <c r="Y22" s="132">
        <v>90</v>
      </c>
      <c r="Z22" s="95" t="s">
        <v>313</v>
      </c>
      <c r="AA22" s="54"/>
    </row>
    <row r="23" spans="1:27" s="47" customFormat="1" ht="63.75">
      <c r="A23" s="95" t="s">
        <v>90</v>
      </c>
      <c r="B23" s="95" t="s">
        <v>139</v>
      </c>
      <c r="C23" s="95" t="s">
        <v>140</v>
      </c>
      <c r="D23" s="95" t="s">
        <v>141</v>
      </c>
      <c r="E23" s="95" t="s">
        <v>72</v>
      </c>
      <c r="F23" s="95" t="s">
        <v>147</v>
      </c>
      <c r="G23" s="95" t="s">
        <v>283</v>
      </c>
      <c r="H23" s="95" t="s">
        <v>144</v>
      </c>
      <c r="I23" s="150" t="s">
        <v>148</v>
      </c>
      <c r="J23" s="126" t="s">
        <v>29</v>
      </c>
      <c r="K23" s="126" t="s">
        <v>28</v>
      </c>
      <c r="L23" s="151">
        <v>3136000</v>
      </c>
      <c r="M23" s="151">
        <f t="shared" si="3"/>
        <v>2038400</v>
      </c>
      <c r="N23" s="151">
        <f t="shared" si="4"/>
        <v>548800</v>
      </c>
      <c r="O23" s="151">
        <f t="shared" si="5"/>
        <v>548800</v>
      </c>
      <c r="P23" s="151">
        <v>0</v>
      </c>
      <c r="Q23" s="150" t="s">
        <v>145</v>
      </c>
      <c r="R23" s="152">
        <v>70</v>
      </c>
      <c r="S23" s="130">
        <v>0</v>
      </c>
      <c r="T23" s="130">
        <f t="shared" si="6"/>
        <v>1</v>
      </c>
      <c r="U23" s="150">
        <f t="shared" si="7"/>
        <v>70</v>
      </c>
      <c r="V23" s="130">
        <v>1</v>
      </c>
      <c r="W23" s="131">
        <v>117</v>
      </c>
      <c r="X23" s="131">
        <v>63</v>
      </c>
      <c r="Y23" s="132">
        <v>90</v>
      </c>
      <c r="Z23" s="95" t="s">
        <v>313</v>
      </c>
      <c r="AA23" s="54"/>
    </row>
    <row r="24" spans="1:27" s="47" customFormat="1" ht="63.75">
      <c r="A24" s="95" t="s">
        <v>90</v>
      </c>
      <c r="B24" s="95" t="s">
        <v>139</v>
      </c>
      <c r="C24" s="95" t="s">
        <v>140</v>
      </c>
      <c r="D24" s="95" t="s">
        <v>141</v>
      </c>
      <c r="E24" s="95" t="s">
        <v>72</v>
      </c>
      <c r="F24" s="95" t="s">
        <v>149</v>
      </c>
      <c r="G24" s="95" t="s">
        <v>283</v>
      </c>
      <c r="H24" s="95" t="s">
        <v>144</v>
      </c>
      <c r="I24" s="150" t="s">
        <v>150</v>
      </c>
      <c r="J24" s="126" t="s">
        <v>29</v>
      </c>
      <c r="K24" s="126" t="s">
        <v>28</v>
      </c>
      <c r="L24" s="151">
        <v>761600</v>
      </c>
      <c r="M24" s="151">
        <f t="shared" si="3"/>
        <v>495040</v>
      </c>
      <c r="N24" s="151">
        <f t="shared" si="4"/>
        <v>133280</v>
      </c>
      <c r="O24" s="151">
        <f t="shared" si="5"/>
        <v>133280</v>
      </c>
      <c r="P24" s="151">
        <v>0</v>
      </c>
      <c r="Q24" s="150" t="s">
        <v>145</v>
      </c>
      <c r="R24" s="152">
        <v>17</v>
      </c>
      <c r="S24" s="130">
        <v>0</v>
      </c>
      <c r="T24" s="130">
        <f t="shared" si="6"/>
        <v>1</v>
      </c>
      <c r="U24" s="150">
        <f t="shared" si="7"/>
        <v>17</v>
      </c>
      <c r="V24" s="130">
        <v>1</v>
      </c>
      <c r="W24" s="131">
        <f>100*0.65</f>
        <v>65</v>
      </c>
      <c r="X24" s="131">
        <f>100-W24</f>
        <v>35</v>
      </c>
      <c r="Y24" s="132">
        <v>90</v>
      </c>
      <c r="Z24" s="95" t="s">
        <v>313</v>
      </c>
      <c r="AA24" s="54"/>
    </row>
    <row r="25" spans="1:27" s="47" customFormat="1" ht="63.75">
      <c r="A25" s="95" t="s">
        <v>90</v>
      </c>
      <c r="B25" s="95" t="s">
        <v>139</v>
      </c>
      <c r="C25" s="95" t="s">
        <v>140</v>
      </c>
      <c r="D25" s="95" t="s">
        <v>141</v>
      </c>
      <c r="E25" s="95" t="s">
        <v>72</v>
      </c>
      <c r="F25" s="95" t="s">
        <v>151</v>
      </c>
      <c r="G25" s="95" t="s">
        <v>283</v>
      </c>
      <c r="H25" s="95" t="s">
        <v>144</v>
      </c>
      <c r="I25" s="150" t="s">
        <v>152</v>
      </c>
      <c r="J25" s="126" t="s">
        <v>29</v>
      </c>
      <c r="K25" s="126" t="s">
        <v>28</v>
      </c>
      <c r="L25" s="151">
        <v>672000</v>
      </c>
      <c r="M25" s="151">
        <f t="shared" si="3"/>
        <v>436800</v>
      </c>
      <c r="N25" s="151">
        <f t="shared" si="4"/>
        <v>117600</v>
      </c>
      <c r="O25" s="151">
        <f t="shared" si="5"/>
        <v>117600</v>
      </c>
      <c r="P25" s="151">
        <v>0</v>
      </c>
      <c r="Q25" s="150" t="s">
        <v>145</v>
      </c>
      <c r="R25" s="152">
        <v>15</v>
      </c>
      <c r="S25" s="130">
        <v>0</v>
      </c>
      <c r="T25" s="130">
        <f t="shared" si="6"/>
        <v>1</v>
      </c>
      <c r="U25" s="150">
        <f t="shared" si="7"/>
        <v>15</v>
      </c>
      <c r="V25" s="130">
        <v>1</v>
      </c>
      <c r="W25" s="131">
        <f>100*0.68</f>
        <v>68</v>
      </c>
      <c r="X25" s="131">
        <f>100-W25</f>
        <v>32</v>
      </c>
      <c r="Y25" s="132">
        <v>90</v>
      </c>
      <c r="Z25" s="95" t="s">
        <v>313</v>
      </c>
      <c r="AA25" s="54"/>
    </row>
    <row r="26" spans="1:27" s="47" customFormat="1" ht="63.75">
      <c r="A26" s="95" t="s">
        <v>90</v>
      </c>
      <c r="B26" s="95" t="s">
        <v>139</v>
      </c>
      <c r="C26" s="95" t="s">
        <v>140</v>
      </c>
      <c r="D26" s="95" t="s">
        <v>141</v>
      </c>
      <c r="E26" s="95" t="s">
        <v>72</v>
      </c>
      <c r="F26" s="95" t="s">
        <v>153</v>
      </c>
      <c r="G26" s="95" t="s">
        <v>283</v>
      </c>
      <c r="H26" s="95" t="s">
        <v>144</v>
      </c>
      <c r="I26" s="150" t="s">
        <v>154</v>
      </c>
      <c r="J26" s="126" t="s">
        <v>29</v>
      </c>
      <c r="K26" s="126" t="s">
        <v>28</v>
      </c>
      <c r="L26" s="151">
        <v>716800</v>
      </c>
      <c r="M26" s="151">
        <f t="shared" si="3"/>
        <v>465920</v>
      </c>
      <c r="N26" s="151">
        <f t="shared" si="4"/>
        <v>125440</v>
      </c>
      <c r="O26" s="151">
        <f t="shared" si="5"/>
        <v>125440</v>
      </c>
      <c r="P26" s="151">
        <v>0</v>
      </c>
      <c r="Q26" s="150" t="s">
        <v>145</v>
      </c>
      <c r="R26" s="152">
        <v>16</v>
      </c>
      <c r="S26" s="130">
        <v>0</v>
      </c>
      <c r="T26" s="130">
        <f t="shared" si="6"/>
        <v>1</v>
      </c>
      <c r="U26" s="150">
        <f t="shared" si="7"/>
        <v>16</v>
      </c>
      <c r="V26" s="130">
        <v>1</v>
      </c>
      <c r="W26" s="131">
        <f>100*0.6</f>
        <v>60</v>
      </c>
      <c r="X26" s="131">
        <f>100-W26</f>
        <v>40</v>
      </c>
      <c r="Y26" s="132">
        <v>90</v>
      </c>
      <c r="Z26" s="95" t="s">
        <v>313</v>
      </c>
      <c r="AA26" s="54"/>
    </row>
    <row r="27" spans="1:27" s="47" customFormat="1" ht="63.75">
      <c r="A27" s="95" t="s">
        <v>90</v>
      </c>
      <c r="B27" s="95" t="s">
        <v>139</v>
      </c>
      <c r="C27" s="95" t="s">
        <v>140</v>
      </c>
      <c r="D27" s="95" t="s">
        <v>141</v>
      </c>
      <c r="E27" s="95" t="s">
        <v>72</v>
      </c>
      <c r="F27" s="95" t="s">
        <v>155</v>
      </c>
      <c r="G27" s="95" t="s">
        <v>283</v>
      </c>
      <c r="H27" s="95" t="s">
        <v>144</v>
      </c>
      <c r="I27" s="150" t="s">
        <v>156</v>
      </c>
      <c r="J27" s="126" t="s">
        <v>29</v>
      </c>
      <c r="K27" s="126" t="s">
        <v>28</v>
      </c>
      <c r="L27" s="151">
        <v>582400</v>
      </c>
      <c r="M27" s="151">
        <f t="shared" si="3"/>
        <v>378560</v>
      </c>
      <c r="N27" s="151">
        <f t="shared" si="4"/>
        <v>101920</v>
      </c>
      <c r="O27" s="151">
        <f t="shared" si="5"/>
        <v>101920</v>
      </c>
      <c r="P27" s="151">
        <v>0</v>
      </c>
      <c r="Q27" s="150" t="s">
        <v>145</v>
      </c>
      <c r="R27" s="152">
        <v>13</v>
      </c>
      <c r="S27" s="130">
        <v>0</v>
      </c>
      <c r="T27" s="130">
        <f t="shared" si="6"/>
        <v>1</v>
      </c>
      <c r="U27" s="150">
        <f t="shared" si="7"/>
        <v>13</v>
      </c>
      <c r="V27" s="130">
        <v>1</v>
      </c>
      <c r="W27" s="131">
        <f>55*0.6</f>
        <v>33</v>
      </c>
      <c r="X27" s="131">
        <f>55-W27</f>
        <v>22</v>
      </c>
      <c r="Y27" s="132">
        <v>90</v>
      </c>
      <c r="Z27" s="95" t="s">
        <v>313</v>
      </c>
      <c r="AA27" s="54"/>
    </row>
    <row r="28" spans="1:27" s="47" customFormat="1" ht="63.75">
      <c r="A28" s="95" t="s">
        <v>90</v>
      </c>
      <c r="B28" s="95" t="s">
        <v>139</v>
      </c>
      <c r="C28" s="95" t="s">
        <v>140</v>
      </c>
      <c r="D28" s="95" t="s">
        <v>141</v>
      </c>
      <c r="E28" s="95" t="s">
        <v>72</v>
      </c>
      <c r="F28" s="95" t="s">
        <v>315</v>
      </c>
      <c r="G28" s="95" t="s">
        <v>283</v>
      </c>
      <c r="H28" s="95" t="s">
        <v>144</v>
      </c>
      <c r="I28" s="150" t="s">
        <v>157</v>
      </c>
      <c r="J28" s="126" t="s">
        <v>29</v>
      </c>
      <c r="K28" s="126" t="s">
        <v>28</v>
      </c>
      <c r="L28" s="151">
        <v>840000</v>
      </c>
      <c r="M28" s="151">
        <f t="shared" si="3"/>
        <v>546000</v>
      </c>
      <c r="N28" s="151">
        <f t="shared" si="4"/>
        <v>147000</v>
      </c>
      <c r="O28" s="151">
        <f t="shared" si="5"/>
        <v>147000</v>
      </c>
      <c r="P28" s="151">
        <v>0</v>
      </c>
      <c r="Q28" s="150" t="s">
        <v>145</v>
      </c>
      <c r="R28" s="152">
        <v>24</v>
      </c>
      <c r="S28" s="130">
        <v>0</v>
      </c>
      <c r="T28" s="130">
        <f t="shared" si="6"/>
        <v>1</v>
      </c>
      <c r="U28" s="150">
        <f t="shared" si="7"/>
        <v>24</v>
      </c>
      <c r="V28" s="130">
        <v>1</v>
      </c>
      <c r="W28" s="131">
        <f>27*5*0.6</f>
        <v>81</v>
      </c>
      <c r="X28" s="131">
        <f>(27*5)-W28</f>
        <v>54</v>
      </c>
      <c r="Y28" s="132">
        <v>90</v>
      </c>
      <c r="Z28" s="95" t="s">
        <v>316</v>
      </c>
      <c r="AA28" s="54"/>
    </row>
    <row r="29" spans="1:27" s="47" customFormat="1" ht="63.75">
      <c r="A29" s="95" t="s">
        <v>90</v>
      </c>
      <c r="B29" s="95" t="s">
        <v>139</v>
      </c>
      <c r="C29" s="95" t="s">
        <v>140</v>
      </c>
      <c r="D29" s="95" t="s">
        <v>141</v>
      </c>
      <c r="E29" s="95" t="s">
        <v>72</v>
      </c>
      <c r="F29" s="95" t="s">
        <v>158</v>
      </c>
      <c r="G29" s="95" t="s">
        <v>283</v>
      </c>
      <c r="H29" s="95" t="s">
        <v>144</v>
      </c>
      <c r="I29" s="150" t="s">
        <v>159</v>
      </c>
      <c r="J29" s="126" t="s">
        <v>29</v>
      </c>
      <c r="K29" s="126" t="s">
        <v>28</v>
      </c>
      <c r="L29" s="151">
        <v>950000</v>
      </c>
      <c r="M29" s="151">
        <f t="shared" si="3"/>
        <v>617500</v>
      </c>
      <c r="N29" s="151">
        <f t="shared" si="4"/>
        <v>166250</v>
      </c>
      <c r="O29" s="151">
        <f t="shared" si="5"/>
        <v>166250</v>
      </c>
      <c r="P29" s="151">
        <v>0</v>
      </c>
      <c r="Q29" s="150" t="s">
        <v>145</v>
      </c>
      <c r="R29" s="152">
        <v>25</v>
      </c>
      <c r="S29" s="130">
        <v>0</v>
      </c>
      <c r="T29" s="130">
        <f t="shared" si="6"/>
        <v>1</v>
      </c>
      <c r="U29" s="150">
        <f t="shared" si="7"/>
        <v>25</v>
      </c>
      <c r="V29" s="130">
        <v>1</v>
      </c>
      <c r="W29" s="131">
        <f>35*5*0.7</f>
        <v>122.49999999999999</v>
      </c>
      <c r="X29" s="131">
        <f>35*5*0.3</f>
        <v>52.5</v>
      </c>
      <c r="Y29" s="132">
        <v>90</v>
      </c>
      <c r="Z29" s="95" t="s">
        <v>313</v>
      </c>
      <c r="AA29" s="54"/>
    </row>
    <row r="30" spans="1:27" s="47" customFormat="1" ht="63.75">
      <c r="A30" s="95" t="s">
        <v>90</v>
      </c>
      <c r="B30" s="95" t="s">
        <v>139</v>
      </c>
      <c r="C30" s="95" t="s">
        <v>140</v>
      </c>
      <c r="D30" s="95" t="s">
        <v>141</v>
      </c>
      <c r="E30" s="95" t="s">
        <v>72</v>
      </c>
      <c r="F30" s="95" t="s">
        <v>160</v>
      </c>
      <c r="G30" s="95" t="s">
        <v>283</v>
      </c>
      <c r="H30" s="95" t="s">
        <v>144</v>
      </c>
      <c r="I30" s="150" t="s">
        <v>161</v>
      </c>
      <c r="J30" s="126" t="s">
        <v>29</v>
      </c>
      <c r="K30" s="126" t="s">
        <v>28</v>
      </c>
      <c r="L30" s="151">
        <v>950000</v>
      </c>
      <c r="M30" s="151">
        <f t="shared" si="3"/>
        <v>617500</v>
      </c>
      <c r="N30" s="151">
        <f t="shared" si="4"/>
        <v>166250</v>
      </c>
      <c r="O30" s="151">
        <f t="shared" si="5"/>
        <v>166250</v>
      </c>
      <c r="P30" s="151">
        <v>0</v>
      </c>
      <c r="Q30" s="150" t="s">
        <v>145</v>
      </c>
      <c r="R30" s="152">
        <v>25</v>
      </c>
      <c r="S30" s="130">
        <v>0</v>
      </c>
      <c r="T30" s="130">
        <f t="shared" si="6"/>
        <v>1</v>
      </c>
      <c r="U30" s="150">
        <f t="shared" si="7"/>
        <v>25</v>
      </c>
      <c r="V30" s="130">
        <v>1</v>
      </c>
      <c r="W30" s="131">
        <f>11*5*0.7</f>
        <v>38.5</v>
      </c>
      <c r="X30" s="131">
        <f>11*5*0.3</f>
        <v>16.5</v>
      </c>
      <c r="Y30" s="132">
        <v>90</v>
      </c>
      <c r="Z30" s="95" t="s">
        <v>313</v>
      </c>
      <c r="AA30" s="54"/>
    </row>
    <row r="31" spans="1:27" s="47" customFormat="1" ht="63.75">
      <c r="A31" s="95" t="s">
        <v>90</v>
      </c>
      <c r="B31" s="95" t="s">
        <v>139</v>
      </c>
      <c r="C31" s="95" t="s">
        <v>140</v>
      </c>
      <c r="D31" s="95" t="s">
        <v>141</v>
      </c>
      <c r="E31" s="95" t="s">
        <v>72</v>
      </c>
      <c r="F31" s="95" t="s">
        <v>318</v>
      </c>
      <c r="G31" s="95" t="s">
        <v>283</v>
      </c>
      <c r="H31" s="95" t="s">
        <v>144</v>
      </c>
      <c r="I31" s="150" t="s">
        <v>317</v>
      </c>
      <c r="J31" s="126" t="s">
        <v>29</v>
      </c>
      <c r="K31" s="126" t="s">
        <v>28</v>
      </c>
      <c r="L31" s="151">
        <v>400000</v>
      </c>
      <c r="M31" s="151">
        <f t="shared" si="3"/>
        <v>260000</v>
      </c>
      <c r="N31" s="151">
        <f t="shared" si="4"/>
        <v>70000</v>
      </c>
      <c r="O31" s="151">
        <f t="shared" si="5"/>
        <v>70000</v>
      </c>
      <c r="P31" s="151">
        <v>0</v>
      </c>
      <c r="Q31" s="150" t="s">
        <v>145</v>
      </c>
      <c r="R31" s="152">
        <v>11</v>
      </c>
      <c r="S31" s="130">
        <v>0</v>
      </c>
      <c r="T31" s="130">
        <f t="shared" si="6"/>
        <v>1</v>
      </c>
      <c r="U31" s="150">
        <f t="shared" si="7"/>
        <v>11</v>
      </c>
      <c r="V31" s="130">
        <v>1</v>
      </c>
      <c r="W31" s="131">
        <f>4*5*0.6</f>
        <v>12</v>
      </c>
      <c r="X31" s="131">
        <f>4*5*0.4</f>
        <v>8</v>
      </c>
      <c r="Y31" s="132">
        <v>90</v>
      </c>
      <c r="Z31" s="95" t="s">
        <v>313</v>
      </c>
      <c r="AA31" s="54"/>
    </row>
    <row r="32" spans="1:27" s="47" customFormat="1" ht="63.75">
      <c r="A32" s="95" t="s">
        <v>90</v>
      </c>
      <c r="B32" s="95" t="s">
        <v>139</v>
      </c>
      <c r="C32" s="95" t="s">
        <v>140</v>
      </c>
      <c r="D32" s="95" t="s">
        <v>141</v>
      </c>
      <c r="E32" s="95" t="s">
        <v>72</v>
      </c>
      <c r="F32" s="95" t="s">
        <v>162</v>
      </c>
      <c r="G32" s="95" t="s">
        <v>283</v>
      </c>
      <c r="H32" s="95" t="s">
        <v>144</v>
      </c>
      <c r="I32" s="150" t="s">
        <v>319</v>
      </c>
      <c r="J32" s="126" t="s">
        <v>29</v>
      </c>
      <c r="K32" s="126" t="s">
        <v>28</v>
      </c>
      <c r="L32" s="151">
        <v>250000</v>
      </c>
      <c r="M32" s="151">
        <f t="shared" si="3"/>
        <v>162500</v>
      </c>
      <c r="N32" s="151">
        <f t="shared" si="4"/>
        <v>43750</v>
      </c>
      <c r="O32" s="151">
        <f t="shared" si="5"/>
        <v>43750</v>
      </c>
      <c r="P32" s="151">
        <v>0</v>
      </c>
      <c r="Q32" s="150" t="s">
        <v>145</v>
      </c>
      <c r="R32" s="152">
        <v>7</v>
      </c>
      <c r="S32" s="130">
        <v>0</v>
      </c>
      <c r="T32" s="130">
        <f t="shared" si="6"/>
        <v>1</v>
      </c>
      <c r="U32" s="150">
        <f t="shared" si="7"/>
        <v>7</v>
      </c>
      <c r="V32" s="130">
        <v>1</v>
      </c>
      <c r="W32" s="131">
        <f>25*0.7</f>
        <v>17.5</v>
      </c>
      <c r="X32" s="131">
        <f>25*0.3</f>
        <v>7.5</v>
      </c>
      <c r="Y32" s="132">
        <v>90</v>
      </c>
      <c r="Z32" s="95" t="s">
        <v>313</v>
      </c>
      <c r="AA32" s="54"/>
    </row>
    <row r="33" spans="1:27" s="47" customFormat="1" ht="63.75">
      <c r="A33" s="95" t="s">
        <v>90</v>
      </c>
      <c r="B33" s="95" t="s">
        <v>139</v>
      </c>
      <c r="C33" s="95" t="s">
        <v>140</v>
      </c>
      <c r="D33" s="95" t="s">
        <v>141</v>
      </c>
      <c r="E33" s="95" t="s">
        <v>72</v>
      </c>
      <c r="F33" s="95" t="s">
        <v>163</v>
      </c>
      <c r="G33" s="95" t="s">
        <v>283</v>
      </c>
      <c r="H33" s="95" t="s">
        <v>144</v>
      </c>
      <c r="I33" s="150" t="s">
        <v>164</v>
      </c>
      <c r="J33" s="126" t="s">
        <v>29</v>
      </c>
      <c r="K33" s="126" t="s">
        <v>28</v>
      </c>
      <c r="L33" s="151">
        <f>800000*1.12</f>
        <v>896000.0000000001</v>
      </c>
      <c r="M33" s="151">
        <f t="shared" si="3"/>
        <v>582400</v>
      </c>
      <c r="N33" s="151">
        <f t="shared" si="4"/>
        <v>156800</v>
      </c>
      <c r="O33" s="151">
        <f t="shared" si="5"/>
        <v>156800.00000000012</v>
      </c>
      <c r="P33" s="151">
        <v>0</v>
      </c>
      <c r="Q33" s="150" t="s">
        <v>145</v>
      </c>
      <c r="R33" s="152">
        <v>23</v>
      </c>
      <c r="S33" s="130">
        <v>0</v>
      </c>
      <c r="T33" s="130">
        <f t="shared" si="6"/>
        <v>1</v>
      </c>
      <c r="U33" s="150">
        <f t="shared" si="7"/>
        <v>23</v>
      </c>
      <c r="V33" s="130">
        <v>1</v>
      </c>
      <c r="W33" s="131">
        <f>25*5*0.6</f>
        <v>75</v>
      </c>
      <c r="X33" s="131">
        <f>25*5*0.4</f>
        <v>50</v>
      </c>
      <c r="Y33" s="132">
        <v>90</v>
      </c>
      <c r="Z33" s="95" t="s">
        <v>313</v>
      </c>
      <c r="AA33" s="54"/>
    </row>
    <row r="34" spans="1:27" s="47" customFormat="1" ht="63.75">
      <c r="A34" s="95" t="s">
        <v>90</v>
      </c>
      <c r="B34" s="95" t="s">
        <v>139</v>
      </c>
      <c r="C34" s="95" t="s">
        <v>67</v>
      </c>
      <c r="D34" s="95" t="s">
        <v>141</v>
      </c>
      <c r="E34" s="95" t="s">
        <v>72</v>
      </c>
      <c r="F34" s="95" t="s">
        <v>165</v>
      </c>
      <c r="G34" s="95" t="s">
        <v>283</v>
      </c>
      <c r="H34" s="95" t="s">
        <v>144</v>
      </c>
      <c r="I34" s="150" t="s">
        <v>166</v>
      </c>
      <c r="J34" s="126" t="s">
        <v>29</v>
      </c>
      <c r="K34" s="126" t="s">
        <v>28</v>
      </c>
      <c r="L34" s="151">
        <v>1702000</v>
      </c>
      <c r="M34" s="151">
        <f t="shared" si="3"/>
        <v>1106300</v>
      </c>
      <c r="N34" s="151">
        <f t="shared" si="4"/>
        <v>297850</v>
      </c>
      <c r="O34" s="151">
        <f t="shared" si="5"/>
        <v>297850</v>
      </c>
      <c r="P34" s="151">
        <v>0</v>
      </c>
      <c r="Q34" s="150" t="s">
        <v>145</v>
      </c>
      <c r="R34" s="152">
        <v>38</v>
      </c>
      <c r="S34" s="130">
        <v>0</v>
      </c>
      <c r="T34" s="130">
        <f>U34/R34</f>
        <v>1</v>
      </c>
      <c r="U34" s="150">
        <f>+R34</f>
        <v>38</v>
      </c>
      <c r="V34" s="130">
        <v>1</v>
      </c>
      <c r="W34" s="131">
        <f>100*0.65</f>
        <v>65</v>
      </c>
      <c r="X34" s="131">
        <f>100-W34</f>
        <v>35</v>
      </c>
      <c r="Y34" s="132">
        <v>90</v>
      </c>
      <c r="Z34" s="95" t="s">
        <v>313</v>
      </c>
      <c r="AA34" s="54" t="s">
        <v>167</v>
      </c>
    </row>
    <row r="35" spans="1:27" s="47" customFormat="1" ht="63.75">
      <c r="A35" s="95" t="s">
        <v>90</v>
      </c>
      <c r="B35" s="95" t="s">
        <v>139</v>
      </c>
      <c r="C35" s="95" t="s">
        <v>140</v>
      </c>
      <c r="D35" s="95" t="s">
        <v>141</v>
      </c>
      <c r="E35" s="95" t="s">
        <v>72</v>
      </c>
      <c r="F35" s="95" t="s">
        <v>168</v>
      </c>
      <c r="G35" s="95" t="s">
        <v>283</v>
      </c>
      <c r="H35" s="95" t="s">
        <v>144</v>
      </c>
      <c r="I35" s="150" t="s">
        <v>169</v>
      </c>
      <c r="J35" s="126" t="s">
        <v>29</v>
      </c>
      <c r="K35" s="126" t="s">
        <v>28</v>
      </c>
      <c r="L35" s="151">
        <f>600000*1.12</f>
        <v>672000.0000000001</v>
      </c>
      <c r="M35" s="151">
        <f t="shared" si="3"/>
        <v>436800</v>
      </c>
      <c r="N35" s="151">
        <f t="shared" si="4"/>
        <v>117600</v>
      </c>
      <c r="O35" s="151">
        <f t="shared" si="5"/>
        <v>117600.00000000012</v>
      </c>
      <c r="P35" s="151">
        <v>0</v>
      </c>
      <c r="Q35" s="150" t="s">
        <v>145</v>
      </c>
      <c r="R35" s="152">
        <v>15</v>
      </c>
      <c r="S35" s="130">
        <v>0</v>
      </c>
      <c r="T35" s="130">
        <f>U35/R35</f>
        <v>1</v>
      </c>
      <c r="U35" s="150">
        <f>+R35</f>
        <v>15</v>
      </c>
      <c r="V35" s="130">
        <f>S35+T35</f>
        <v>1</v>
      </c>
      <c r="W35" s="131">
        <f>8*5*0.65</f>
        <v>26</v>
      </c>
      <c r="X35" s="131">
        <f>8*5-W35</f>
        <v>14</v>
      </c>
      <c r="Y35" s="132">
        <v>90</v>
      </c>
      <c r="Z35" s="95" t="s">
        <v>313</v>
      </c>
      <c r="AA35" s="54" t="s">
        <v>170</v>
      </c>
    </row>
    <row r="36" spans="1:29" s="47" customFormat="1" ht="153">
      <c r="A36" s="95" t="s">
        <v>90</v>
      </c>
      <c r="B36" s="95" t="s">
        <v>139</v>
      </c>
      <c r="C36" s="126" t="s">
        <v>115</v>
      </c>
      <c r="D36" s="95" t="s">
        <v>123</v>
      </c>
      <c r="E36" s="95" t="s">
        <v>124</v>
      </c>
      <c r="F36" s="95" t="s">
        <v>370</v>
      </c>
      <c r="G36" s="95" t="s">
        <v>283</v>
      </c>
      <c r="H36" s="95" t="s">
        <v>144</v>
      </c>
      <c r="I36" s="150" t="s">
        <v>369</v>
      </c>
      <c r="J36" s="126" t="s">
        <v>171</v>
      </c>
      <c r="K36" s="126" t="s">
        <v>28</v>
      </c>
      <c r="L36" s="151">
        <v>10000000</v>
      </c>
      <c r="M36" s="151">
        <f>L36*65%</f>
        <v>6500000</v>
      </c>
      <c r="N36" s="151">
        <v>3000000</v>
      </c>
      <c r="O36" s="151">
        <v>500000</v>
      </c>
      <c r="P36" s="151">
        <v>0</v>
      </c>
      <c r="Q36" s="150" t="s">
        <v>172</v>
      </c>
      <c r="R36" s="152">
        <v>24.15118</v>
      </c>
      <c r="S36" s="130">
        <v>0.87</v>
      </c>
      <c r="T36" s="130">
        <v>0.13</v>
      </c>
      <c r="U36" s="150">
        <v>5.15118</v>
      </c>
      <c r="V36" s="130">
        <v>1</v>
      </c>
      <c r="W36" s="131" t="s">
        <v>371</v>
      </c>
      <c r="X36" s="131" t="s">
        <v>372</v>
      </c>
      <c r="Y36" s="132">
        <f>30*6</f>
        <v>180</v>
      </c>
      <c r="Z36" s="95" t="s">
        <v>373</v>
      </c>
      <c r="AA36" s="54" t="s">
        <v>173</v>
      </c>
      <c r="AB36" s="47" t="s">
        <v>174</v>
      </c>
      <c r="AC36" s="47" t="s">
        <v>175</v>
      </c>
    </row>
    <row r="37" spans="1:29" s="59" customFormat="1" ht="114.75">
      <c r="A37" s="73" t="s">
        <v>90</v>
      </c>
      <c r="B37" s="73" t="s">
        <v>139</v>
      </c>
      <c r="C37" s="140" t="s">
        <v>115</v>
      </c>
      <c r="D37" s="73" t="s">
        <v>123</v>
      </c>
      <c r="E37" s="73" t="s">
        <v>124</v>
      </c>
      <c r="F37" s="73" t="s">
        <v>375</v>
      </c>
      <c r="G37" s="73" t="s">
        <v>283</v>
      </c>
      <c r="H37" s="73" t="s">
        <v>144</v>
      </c>
      <c r="I37" s="149" t="s">
        <v>176</v>
      </c>
      <c r="J37" s="153" t="s">
        <v>256</v>
      </c>
      <c r="K37" s="140" t="s">
        <v>28</v>
      </c>
      <c r="L37" s="154">
        <f>12300000-6300000</f>
        <v>6000000</v>
      </c>
      <c r="M37" s="154">
        <f>ROUND(L37*65%,2)</f>
        <v>3900000</v>
      </c>
      <c r="N37" s="154">
        <v>0</v>
      </c>
      <c r="O37" s="154">
        <f>L37-M37</f>
        <v>2100000</v>
      </c>
      <c r="P37" s="154">
        <v>0</v>
      </c>
      <c r="Q37" s="149" t="s">
        <v>172</v>
      </c>
      <c r="R37" s="155">
        <v>4.06154</v>
      </c>
      <c r="S37" s="156" t="s">
        <v>256</v>
      </c>
      <c r="T37" s="157" t="s">
        <v>256</v>
      </c>
      <c r="U37" s="158" t="s">
        <v>256</v>
      </c>
      <c r="V37" s="157" t="s">
        <v>256</v>
      </c>
      <c r="W37" s="144">
        <v>219</v>
      </c>
      <c r="X37" s="144">
        <v>233</v>
      </c>
      <c r="Y37" s="145">
        <v>150</v>
      </c>
      <c r="Z37" s="73" t="s">
        <v>374</v>
      </c>
      <c r="AA37" s="57" t="s">
        <v>177</v>
      </c>
      <c r="AB37" s="59" t="s">
        <v>174</v>
      </c>
      <c r="AC37" s="59" t="s">
        <v>178</v>
      </c>
    </row>
    <row r="38" spans="1:27" s="47" customFormat="1" ht="63.75">
      <c r="A38" s="95" t="s">
        <v>90</v>
      </c>
      <c r="B38" s="95" t="s">
        <v>179</v>
      </c>
      <c r="C38" s="95" t="s">
        <v>78</v>
      </c>
      <c r="D38" s="95" t="s">
        <v>116</v>
      </c>
      <c r="E38" s="95" t="s">
        <v>124</v>
      </c>
      <c r="F38" s="95" t="s">
        <v>258</v>
      </c>
      <c r="G38" s="36" t="s">
        <v>272</v>
      </c>
      <c r="H38" s="95" t="s">
        <v>291</v>
      </c>
      <c r="I38" s="95" t="s">
        <v>347</v>
      </c>
      <c r="J38" s="126" t="s">
        <v>29</v>
      </c>
      <c r="K38" s="126" t="s">
        <v>28</v>
      </c>
      <c r="L38" s="135">
        <v>2650000</v>
      </c>
      <c r="M38" s="135">
        <f aca="true" t="shared" si="8" ref="M38:M43">L38*0.65</f>
        <v>1722500</v>
      </c>
      <c r="N38" s="135">
        <f aca="true" t="shared" si="9" ref="N38:N43">L38*0.175</f>
        <v>463749.99999999994</v>
      </c>
      <c r="O38" s="135">
        <f aca="true" t="shared" si="10" ref="O38:O43">L38*0.175</f>
        <v>463749.99999999994</v>
      </c>
      <c r="P38" s="135">
        <v>0</v>
      </c>
      <c r="Q38" s="95" t="s">
        <v>86</v>
      </c>
      <c r="R38" s="129">
        <v>2.4</v>
      </c>
      <c r="S38" s="130">
        <v>0</v>
      </c>
      <c r="T38" s="130">
        <f>U38/R38</f>
        <v>1</v>
      </c>
      <c r="U38" s="129">
        <v>2.4</v>
      </c>
      <c r="V38" s="130">
        <f>T38</f>
        <v>1</v>
      </c>
      <c r="W38" s="131" t="s">
        <v>348</v>
      </c>
      <c r="X38" s="131" t="s">
        <v>349</v>
      </c>
      <c r="Y38" s="132">
        <v>120</v>
      </c>
      <c r="Z38" s="95" t="s">
        <v>257</v>
      </c>
      <c r="AA38" s="47" t="s">
        <v>251</v>
      </c>
    </row>
    <row r="39" spans="1:27" s="47" customFormat="1" ht="140.25">
      <c r="A39" s="95" t="s">
        <v>90</v>
      </c>
      <c r="B39" s="95" t="s">
        <v>179</v>
      </c>
      <c r="C39" s="95" t="s">
        <v>78</v>
      </c>
      <c r="D39" s="125">
        <v>6</v>
      </c>
      <c r="E39" s="95" t="s">
        <v>79</v>
      </c>
      <c r="F39" s="95" t="s">
        <v>351</v>
      </c>
      <c r="G39" s="36" t="s">
        <v>272</v>
      </c>
      <c r="H39" s="95" t="s">
        <v>291</v>
      </c>
      <c r="I39" s="95" t="s">
        <v>350</v>
      </c>
      <c r="J39" s="126" t="s">
        <v>29</v>
      </c>
      <c r="K39" s="126" t="s">
        <v>28</v>
      </c>
      <c r="L39" s="136">
        <v>2000000</v>
      </c>
      <c r="M39" s="135">
        <v>1300000</v>
      </c>
      <c r="N39" s="135">
        <v>350000</v>
      </c>
      <c r="O39" s="135">
        <v>350000</v>
      </c>
      <c r="P39" s="135">
        <v>0</v>
      </c>
      <c r="Q39" s="95" t="s">
        <v>180</v>
      </c>
      <c r="R39" s="129">
        <v>1</v>
      </c>
      <c r="S39" s="130">
        <v>0</v>
      </c>
      <c r="T39" s="130">
        <f>U39/R39</f>
        <v>1</v>
      </c>
      <c r="U39" s="129">
        <v>1</v>
      </c>
      <c r="V39" s="130">
        <f>T39</f>
        <v>1</v>
      </c>
      <c r="W39" s="131" t="s">
        <v>352</v>
      </c>
      <c r="X39" s="131" t="s">
        <v>353</v>
      </c>
      <c r="Y39" s="132">
        <v>120</v>
      </c>
      <c r="Z39" s="36" t="s">
        <v>181</v>
      </c>
      <c r="AA39" s="47" t="s">
        <v>182</v>
      </c>
    </row>
    <row r="40" spans="1:27" s="47" customFormat="1" ht="140.25">
      <c r="A40" s="95" t="s">
        <v>90</v>
      </c>
      <c r="B40" s="95" t="s">
        <v>179</v>
      </c>
      <c r="C40" s="95" t="s">
        <v>78</v>
      </c>
      <c r="D40" s="125">
        <v>6</v>
      </c>
      <c r="E40" s="95" t="s">
        <v>79</v>
      </c>
      <c r="F40" s="95" t="s">
        <v>357</v>
      </c>
      <c r="G40" s="36" t="s">
        <v>272</v>
      </c>
      <c r="H40" s="95" t="s">
        <v>291</v>
      </c>
      <c r="I40" s="95" t="s">
        <v>354</v>
      </c>
      <c r="J40" s="126" t="s">
        <v>29</v>
      </c>
      <c r="K40" s="126" t="s">
        <v>28</v>
      </c>
      <c r="L40" s="136">
        <v>360000</v>
      </c>
      <c r="M40" s="135">
        <v>234000</v>
      </c>
      <c r="N40" s="135">
        <v>62999.99999999999</v>
      </c>
      <c r="O40" s="135">
        <v>62999.99999999999</v>
      </c>
      <c r="P40" s="135">
        <v>0</v>
      </c>
      <c r="Q40" s="95" t="s">
        <v>180</v>
      </c>
      <c r="R40" s="129">
        <v>1</v>
      </c>
      <c r="S40" s="130">
        <v>0</v>
      </c>
      <c r="T40" s="130">
        <f>U40/R40</f>
        <v>1</v>
      </c>
      <c r="U40" s="129">
        <v>1</v>
      </c>
      <c r="V40" s="130">
        <f>T40</f>
        <v>1</v>
      </c>
      <c r="W40" s="131" t="s">
        <v>355</v>
      </c>
      <c r="X40" s="131" t="s">
        <v>356</v>
      </c>
      <c r="Y40" s="132">
        <v>90</v>
      </c>
      <c r="Z40" s="36" t="s">
        <v>181</v>
      </c>
      <c r="AA40" s="47" t="s">
        <v>252</v>
      </c>
    </row>
    <row r="41" spans="1:28" s="47" customFormat="1" ht="140.25">
      <c r="A41" s="95" t="s">
        <v>90</v>
      </c>
      <c r="B41" s="95" t="s">
        <v>179</v>
      </c>
      <c r="C41" s="95" t="s">
        <v>78</v>
      </c>
      <c r="D41" s="125">
        <v>6</v>
      </c>
      <c r="E41" s="95" t="s">
        <v>79</v>
      </c>
      <c r="F41" s="95" t="s">
        <v>361</v>
      </c>
      <c r="G41" s="36" t="s">
        <v>272</v>
      </c>
      <c r="H41" s="95" t="s">
        <v>291</v>
      </c>
      <c r="I41" s="95" t="s">
        <v>358</v>
      </c>
      <c r="J41" s="126" t="s">
        <v>29</v>
      </c>
      <c r="K41" s="126" t="s">
        <v>28</v>
      </c>
      <c r="L41" s="136">
        <v>440000</v>
      </c>
      <c r="M41" s="135">
        <v>286000</v>
      </c>
      <c r="N41" s="135">
        <v>77000</v>
      </c>
      <c r="O41" s="135">
        <v>77000</v>
      </c>
      <c r="P41" s="135">
        <v>0</v>
      </c>
      <c r="Q41" s="95" t="s">
        <v>180</v>
      </c>
      <c r="R41" s="129">
        <v>1</v>
      </c>
      <c r="S41" s="130">
        <v>0</v>
      </c>
      <c r="T41" s="130">
        <f>U41/R41</f>
        <v>1</v>
      </c>
      <c r="U41" s="129">
        <v>1</v>
      </c>
      <c r="V41" s="130">
        <f>T41</f>
        <v>1</v>
      </c>
      <c r="W41" s="131" t="s">
        <v>360</v>
      </c>
      <c r="X41" s="131" t="s">
        <v>359</v>
      </c>
      <c r="Y41" s="132">
        <v>90</v>
      </c>
      <c r="Z41" s="36" t="s">
        <v>181</v>
      </c>
      <c r="AA41" s="47" t="s">
        <v>183</v>
      </c>
      <c r="AB41" s="159"/>
    </row>
    <row r="42" spans="1:27" s="47" customFormat="1" ht="63.75">
      <c r="A42" s="95" t="s">
        <v>90</v>
      </c>
      <c r="B42" s="95" t="s">
        <v>179</v>
      </c>
      <c r="C42" s="95" t="s">
        <v>67</v>
      </c>
      <c r="D42" s="125">
        <v>4</v>
      </c>
      <c r="E42" s="95" t="s">
        <v>184</v>
      </c>
      <c r="F42" s="95" t="s">
        <v>292</v>
      </c>
      <c r="G42" s="36" t="s">
        <v>272</v>
      </c>
      <c r="H42" s="95" t="s">
        <v>291</v>
      </c>
      <c r="I42" s="95" t="s">
        <v>185</v>
      </c>
      <c r="J42" s="126" t="s">
        <v>29</v>
      </c>
      <c r="K42" s="126" t="s">
        <v>28</v>
      </c>
      <c r="L42" s="136">
        <v>1000000</v>
      </c>
      <c r="M42" s="135">
        <f t="shared" si="8"/>
        <v>650000</v>
      </c>
      <c r="N42" s="135">
        <f t="shared" si="9"/>
        <v>175000</v>
      </c>
      <c r="O42" s="135">
        <f t="shared" si="10"/>
        <v>175000</v>
      </c>
      <c r="P42" s="135">
        <v>0</v>
      </c>
      <c r="Q42" s="95" t="s">
        <v>186</v>
      </c>
      <c r="R42" s="129">
        <v>14</v>
      </c>
      <c r="S42" s="130">
        <v>0</v>
      </c>
      <c r="T42" s="130">
        <f>U42/R42</f>
        <v>1</v>
      </c>
      <c r="U42" s="129">
        <v>14</v>
      </c>
      <c r="V42" s="130">
        <f>T42</f>
        <v>1</v>
      </c>
      <c r="W42" s="131">
        <v>26</v>
      </c>
      <c r="X42" s="131">
        <v>26</v>
      </c>
      <c r="Y42" s="132">
        <v>90</v>
      </c>
      <c r="Z42" s="36" t="s">
        <v>187</v>
      </c>
      <c r="AA42" s="47" t="s">
        <v>188</v>
      </c>
    </row>
    <row r="43" spans="1:44" s="52" customFormat="1" ht="63.75">
      <c r="A43" s="95" t="s">
        <v>90</v>
      </c>
      <c r="B43" s="95" t="s">
        <v>179</v>
      </c>
      <c r="C43" s="36" t="s">
        <v>67</v>
      </c>
      <c r="D43" s="125" t="s">
        <v>141</v>
      </c>
      <c r="E43" s="95" t="s">
        <v>189</v>
      </c>
      <c r="F43" s="95" t="s">
        <v>294</v>
      </c>
      <c r="G43" s="36" t="s">
        <v>272</v>
      </c>
      <c r="H43" s="95" t="s">
        <v>291</v>
      </c>
      <c r="I43" s="95" t="s">
        <v>293</v>
      </c>
      <c r="J43" s="126" t="s">
        <v>29</v>
      </c>
      <c r="K43" s="126" t="s">
        <v>28</v>
      </c>
      <c r="L43" s="137">
        <v>1350000</v>
      </c>
      <c r="M43" s="137">
        <f t="shared" si="8"/>
        <v>877500</v>
      </c>
      <c r="N43" s="137">
        <f t="shared" si="9"/>
        <v>236249.99999999997</v>
      </c>
      <c r="O43" s="137">
        <f t="shared" si="10"/>
        <v>236249.99999999997</v>
      </c>
      <c r="P43" s="135">
        <v>0</v>
      </c>
      <c r="Q43" s="95" t="s">
        <v>86</v>
      </c>
      <c r="R43" s="129">
        <v>1</v>
      </c>
      <c r="S43" s="100">
        <v>0</v>
      </c>
      <c r="T43" s="101">
        <v>1</v>
      </c>
      <c r="U43" s="99">
        <v>1</v>
      </c>
      <c r="V43" s="102">
        <v>1</v>
      </c>
      <c r="W43" s="131">
        <v>43</v>
      </c>
      <c r="X43" s="131">
        <v>46</v>
      </c>
      <c r="Y43" s="36">
        <v>120</v>
      </c>
      <c r="Z43" s="36" t="s">
        <v>295</v>
      </c>
      <c r="AA43" s="48" t="s">
        <v>191</v>
      </c>
      <c r="AB43" s="48"/>
      <c r="AC43" s="48"/>
      <c r="AD43" s="48"/>
      <c r="AE43" s="48"/>
      <c r="AF43" s="48"/>
      <c r="AG43" s="48"/>
      <c r="AH43" s="48"/>
      <c r="AI43" s="48"/>
      <c r="AJ43" s="48"/>
      <c r="AK43" s="48"/>
      <c r="AL43" s="48"/>
      <c r="AM43" s="48"/>
      <c r="AN43" s="48"/>
      <c r="AO43" s="48"/>
      <c r="AP43" s="48"/>
      <c r="AQ43" s="48"/>
      <c r="AR43" s="48"/>
    </row>
    <row r="44" spans="1:28" s="47" customFormat="1" ht="63.75">
      <c r="A44" s="95" t="s">
        <v>90</v>
      </c>
      <c r="B44" s="95" t="s">
        <v>192</v>
      </c>
      <c r="C44" s="95" t="s">
        <v>66</v>
      </c>
      <c r="D44" s="134">
        <v>2</v>
      </c>
      <c r="E44" s="95" t="s">
        <v>72</v>
      </c>
      <c r="F44" s="95" t="s">
        <v>278</v>
      </c>
      <c r="G44" s="95" t="s">
        <v>193</v>
      </c>
      <c r="H44" s="95" t="s">
        <v>194</v>
      </c>
      <c r="I44" s="95" t="s">
        <v>274</v>
      </c>
      <c r="J44" s="126" t="s">
        <v>29</v>
      </c>
      <c r="K44" s="126" t="s">
        <v>28</v>
      </c>
      <c r="L44" s="160">
        <v>210000</v>
      </c>
      <c r="M44" s="160">
        <f>L44*0.65</f>
        <v>136500</v>
      </c>
      <c r="N44" s="160">
        <f>L44*0.175</f>
        <v>36750</v>
      </c>
      <c r="O44" s="160">
        <f>L44*0.175</f>
        <v>36750</v>
      </c>
      <c r="P44" s="160">
        <v>0</v>
      </c>
      <c r="Q44" s="95" t="s">
        <v>77</v>
      </c>
      <c r="R44" s="152">
        <v>1</v>
      </c>
      <c r="S44" s="130">
        <v>0</v>
      </c>
      <c r="T44" s="130">
        <v>1</v>
      </c>
      <c r="U44" s="152">
        <v>1</v>
      </c>
      <c r="V44" s="130">
        <v>1</v>
      </c>
      <c r="W44" s="131">
        <v>30</v>
      </c>
      <c r="X44" s="131">
        <v>25</v>
      </c>
      <c r="Y44" s="132">
        <v>90</v>
      </c>
      <c r="Z44" s="95" t="s">
        <v>195</v>
      </c>
      <c r="AA44" s="133"/>
      <c r="AB44" s="47" t="s">
        <v>196</v>
      </c>
    </row>
    <row r="45" spans="1:28" s="47" customFormat="1" ht="63.75">
      <c r="A45" s="95" t="s">
        <v>90</v>
      </c>
      <c r="B45" s="95" t="s">
        <v>192</v>
      </c>
      <c r="C45" s="95" t="s">
        <v>66</v>
      </c>
      <c r="D45" s="134">
        <v>2</v>
      </c>
      <c r="E45" s="95" t="s">
        <v>72</v>
      </c>
      <c r="F45" s="95" t="s">
        <v>276</v>
      </c>
      <c r="G45" s="95" t="s">
        <v>193</v>
      </c>
      <c r="H45" s="95" t="s">
        <v>194</v>
      </c>
      <c r="I45" s="95" t="s">
        <v>275</v>
      </c>
      <c r="J45" s="126" t="s">
        <v>29</v>
      </c>
      <c r="K45" s="126" t="s">
        <v>28</v>
      </c>
      <c r="L45" s="150">
        <v>2200000</v>
      </c>
      <c r="M45" s="160">
        <f aca="true" t="shared" si="11" ref="M45:M59">L45*0.65</f>
        <v>1430000</v>
      </c>
      <c r="N45" s="160">
        <f aca="true" t="shared" si="12" ref="N45:N59">L45*0.175</f>
        <v>385000</v>
      </c>
      <c r="O45" s="160">
        <f aca="true" t="shared" si="13" ref="O45:O59">L45*0.175</f>
        <v>385000</v>
      </c>
      <c r="P45" s="160">
        <v>0</v>
      </c>
      <c r="Q45" s="95" t="s">
        <v>77</v>
      </c>
      <c r="R45" s="152">
        <v>1</v>
      </c>
      <c r="S45" s="130">
        <v>0</v>
      </c>
      <c r="T45" s="130">
        <f aca="true" t="shared" si="14" ref="T45:T73">U45/R45</f>
        <v>1</v>
      </c>
      <c r="U45" s="152">
        <f>R45</f>
        <v>1</v>
      </c>
      <c r="V45" s="130">
        <f aca="true" t="shared" si="15" ref="V45:V54">T45</f>
        <v>1</v>
      </c>
      <c r="W45" s="131">
        <v>56</v>
      </c>
      <c r="X45" s="131">
        <v>67</v>
      </c>
      <c r="Y45" s="132">
        <v>120</v>
      </c>
      <c r="Z45" s="95" t="s">
        <v>277</v>
      </c>
      <c r="AA45" s="133"/>
      <c r="AB45" s="47" t="s">
        <v>197</v>
      </c>
    </row>
    <row r="46" spans="1:28" s="59" customFormat="1" ht="153">
      <c r="A46" s="73" t="s">
        <v>90</v>
      </c>
      <c r="B46" s="73" t="s">
        <v>192</v>
      </c>
      <c r="C46" s="73" t="s">
        <v>66</v>
      </c>
      <c r="D46" s="161">
        <v>2</v>
      </c>
      <c r="E46" s="73" t="s">
        <v>72</v>
      </c>
      <c r="F46" s="73" t="s">
        <v>280</v>
      </c>
      <c r="G46" s="73" t="s">
        <v>193</v>
      </c>
      <c r="H46" s="73" t="s">
        <v>194</v>
      </c>
      <c r="I46" s="73" t="s">
        <v>279</v>
      </c>
      <c r="J46" s="140" t="s">
        <v>29</v>
      </c>
      <c r="K46" s="140" t="s">
        <v>28</v>
      </c>
      <c r="L46" s="162">
        <v>2853810</v>
      </c>
      <c r="M46" s="162">
        <f t="shared" si="11"/>
        <v>1854976.5</v>
      </c>
      <c r="N46" s="162">
        <f t="shared" si="12"/>
        <v>499416.74999999994</v>
      </c>
      <c r="O46" s="162">
        <f t="shared" si="13"/>
        <v>499416.74999999994</v>
      </c>
      <c r="P46" s="162">
        <v>0</v>
      </c>
      <c r="Q46" s="73" t="s">
        <v>77</v>
      </c>
      <c r="R46" s="155">
        <v>1</v>
      </c>
      <c r="S46" s="143">
        <v>0</v>
      </c>
      <c r="T46" s="143">
        <f>U46/R46</f>
        <v>1</v>
      </c>
      <c r="U46" s="155">
        <f>R46</f>
        <v>1</v>
      </c>
      <c r="V46" s="143">
        <f t="shared" si="15"/>
        <v>1</v>
      </c>
      <c r="W46" s="144">
        <v>135</v>
      </c>
      <c r="X46" s="144">
        <v>138</v>
      </c>
      <c r="Y46" s="145">
        <v>130</v>
      </c>
      <c r="Z46" s="73" t="s">
        <v>281</v>
      </c>
      <c r="AA46" s="163"/>
      <c r="AB46" s="58" t="s">
        <v>198</v>
      </c>
    </row>
    <row r="47" spans="1:27" s="47" customFormat="1" ht="63.75">
      <c r="A47" s="95" t="s">
        <v>90</v>
      </c>
      <c r="B47" s="95" t="s">
        <v>192</v>
      </c>
      <c r="C47" s="95" t="s">
        <v>67</v>
      </c>
      <c r="D47" s="134" t="s">
        <v>71</v>
      </c>
      <c r="E47" s="95" t="s">
        <v>72</v>
      </c>
      <c r="F47" s="95" t="s">
        <v>296</v>
      </c>
      <c r="G47" s="95" t="s">
        <v>193</v>
      </c>
      <c r="H47" s="95" t="s">
        <v>194</v>
      </c>
      <c r="I47" s="95" t="s">
        <v>274</v>
      </c>
      <c r="J47" s="126" t="s">
        <v>29</v>
      </c>
      <c r="K47" s="126" t="s">
        <v>28</v>
      </c>
      <c r="L47" s="150">
        <v>1480000</v>
      </c>
      <c r="M47" s="160">
        <f>L47*0.65</f>
        <v>962000</v>
      </c>
      <c r="N47" s="160">
        <f>L47*0.175</f>
        <v>258999.99999999997</v>
      </c>
      <c r="O47" s="160">
        <f>L47*0.175</f>
        <v>258999.99999999997</v>
      </c>
      <c r="P47" s="160">
        <v>0</v>
      </c>
      <c r="Q47" s="95" t="s">
        <v>199</v>
      </c>
      <c r="R47" s="152">
        <v>32</v>
      </c>
      <c r="S47" s="130">
        <v>0</v>
      </c>
      <c r="T47" s="130">
        <f>U47/R47</f>
        <v>1</v>
      </c>
      <c r="U47" s="152">
        <f>R47</f>
        <v>32</v>
      </c>
      <c r="V47" s="130">
        <f>T47</f>
        <v>1</v>
      </c>
      <c r="W47" s="131">
        <v>84</v>
      </c>
      <c r="X47" s="131">
        <v>90</v>
      </c>
      <c r="Y47" s="132">
        <v>90</v>
      </c>
      <c r="Z47" s="36" t="s">
        <v>200</v>
      </c>
      <c r="AA47" s="133"/>
    </row>
    <row r="48" spans="1:28" s="47" customFormat="1" ht="63.75">
      <c r="A48" s="95" t="s">
        <v>90</v>
      </c>
      <c r="B48" s="95" t="s">
        <v>192</v>
      </c>
      <c r="C48" s="95" t="s">
        <v>67</v>
      </c>
      <c r="D48" s="134" t="s">
        <v>71</v>
      </c>
      <c r="E48" s="95" t="s">
        <v>72</v>
      </c>
      <c r="F48" s="95" t="s">
        <v>298</v>
      </c>
      <c r="G48" s="95" t="s">
        <v>193</v>
      </c>
      <c r="H48" s="95" t="s">
        <v>194</v>
      </c>
      <c r="I48" s="95" t="s">
        <v>297</v>
      </c>
      <c r="J48" s="126" t="s">
        <v>29</v>
      </c>
      <c r="K48" s="126" t="s">
        <v>28</v>
      </c>
      <c r="L48" s="150">
        <v>360000</v>
      </c>
      <c r="M48" s="160">
        <f>L48*0.65</f>
        <v>234000</v>
      </c>
      <c r="N48" s="160">
        <f>L48*0.175</f>
        <v>62999.99999999999</v>
      </c>
      <c r="O48" s="160">
        <f>L48*0.175</f>
        <v>62999.99999999999</v>
      </c>
      <c r="P48" s="160">
        <v>0</v>
      </c>
      <c r="Q48" s="95" t="s">
        <v>199</v>
      </c>
      <c r="R48" s="152">
        <v>8</v>
      </c>
      <c r="S48" s="130">
        <v>0</v>
      </c>
      <c r="T48" s="130">
        <f t="shared" si="14"/>
        <v>1</v>
      </c>
      <c r="U48" s="152">
        <f aca="true" t="shared" si="16" ref="U48:U54">R48</f>
        <v>8</v>
      </c>
      <c r="V48" s="130">
        <f t="shared" si="15"/>
        <v>1</v>
      </c>
      <c r="W48" s="131">
        <v>17</v>
      </c>
      <c r="X48" s="131">
        <v>19</v>
      </c>
      <c r="Y48" s="132">
        <v>90</v>
      </c>
      <c r="Z48" s="36" t="s">
        <v>200</v>
      </c>
      <c r="AA48" s="133"/>
      <c r="AB48" s="164"/>
    </row>
    <row r="49" spans="1:27" s="47" customFormat="1" ht="63.75">
      <c r="A49" s="95" t="s">
        <v>90</v>
      </c>
      <c r="B49" s="95" t="s">
        <v>192</v>
      </c>
      <c r="C49" s="95" t="s">
        <v>67</v>
      </c>
      <c r="D49" s="134" t="s">
        <v>71</v>
      </c>
      <c r="E49" s="95" t="s">
        <v>72</v>
      </c>
      <c r="F49" s="95" t="s">
        <v>299</v>
      </c>
      <c r="G49" s="95" t="s">
        <v>193</v>
      </c>
      <c r="H49" s="95" t="s">
        <v>194</v>
      </c>
      <c r="I49" s="95" t="s">
        <v>306</v>
      </c>
      <c r="J49" s="126" t="s">
        <v>29</v>
      </c>
      <c r="K49" s="126" t="s">
        <v>28</v>
      </c>
      <c r="L49" s="160">
        <v>580000</v>
      </c>
      <c r="M49" s="160">
        <f t="shared" si="11"/>
        <v>377000</v>
      </c>
      <c r="N49" s="160">
        <f t="shared" si="12"/>
        <v>101500</v>
      </c>
      <c r="O49" s="160">
        <f t="shared" si="13"/>
        <v>101500</v>
      </c>
      <c r="P49" s="160">
        <v>0</v>
      </c>
      <c r="Q49" s="95" t="s">
        <v>199</v>
      </c>
      <c r="R49" s="152">
        <v>13</v>
      </c>
      <c r="S49" s="130">
        <v>0</v>
      </c>
      <c r="T49" s="130">
        <f t="shared" si="14"/>
        <v>1</v>
      </c>
      <c r="U49" s="152">
        <f t="shared" si="16"/>
        <v>13</v>
      </c>
      <c r="V49" s="130">
        <f t="shared" si="15"/>
        <v>1</v>
      </c>
      <c r="W49" s="131">
        <v>28</v>
      </c>
      <c r="X49" s="131">
        <v>32</v>
      </c>
      <c r="Y49" s="132">
        <v>90</v>
      </c>
      <c r="Z49" s="36" t="s">
        <v>200</v>
      </c>
      <c r="AA49" s="133"/>
    </row>
    <row r="50" spans="1:27" s="47" customFormat="1" ht="76.5">
      <c r="A50" s="95" t="s">
        <v>90</v>
      </c>
      <c r="B50" s="95" t="s">
        <v>192</v>
      </c>
      <c r="C50" s="95" t="s">
        <v>67</v>
      </c>
      <c r="D50" s="134" t="s">
        <v>71</v>
      </c>
      <c r="E50" s="95" t="s">
        <v>72</v>
      </c>
      <c r="F50" s="95" t="s">
        <v>301</v>
      </c>
      <c r="G50" s="95" t="s">
        <v>193</v>
      </c>
      <c r="H50" s="95" t="s">
        <v>194</v>
      </c>
      <c r="I50" s="95" t="s">
        <v>300</v>
      </c>
      <c r="J50" s="126" t="s">
        <v>29</v>
      </c>
      <c r="K50" s="126" t="s">
        <v>28</v>
      </c>
      <c r="L50" s="160">
        <v>2915000</v>
      </c>
      <c r="M50" s="160">
        <f t="shared" si="11"/>
        <v>1894750</v>
      </c>
      <c r="N50" s="160">
        <f t="shared" si="12"/>
        <v>510124.99999999994</v>
      </c>
      <c r="O50" s="160">
        <f t="shared" si="13"/>
        <v>510124.99999999994</v>
      </c>
      <c r="P50" s="160">
        <v>0</v>
      </c>
      <c r="Q50" s="95" t="s">
        <v>199</v>
      </c>
      <c r="R50" s="152">
        <v>58</v>
      </c>
      <c r="S50" s="130">
        <v>0</v>
      </c>
      <c r="T50" s="130">
        <f t="shared" si="14"/>
        <v>1</v>
      </c>
      <c r="U50" s="152">
        <f t="shared" si="16"/>
        <v>58</v>
      </c>
      <c r="V50" s="130">
        <f t="shared" si="15"/>
        <v>1</v>
      </c>
      <c r="W50" s="131">
        <v>100</v>
      </c>
      <c r="X50" s="131">
        <v>110</v>
      </c>
      <c r="Y50" s="132">
        <v>120</v>
      </c>
      <c r="Z50" s="36" t="s">
        <v>200</v>
      </c>
      <c r="AA50" s="133"/>
    </row>
    <row r="51" spans="1:27" s="47" customFormat="1" ht="63.75">
      <c r="A51" s="95" t="s">
        <v>90</v>
      </c>
      <c r="B51" s="95" t="s">
        <v>192</v>
      </c>
      <c r="C51" s="95" t="s">
        <v>67</v>
      </c>
      <c r="D51" s="134" t="s">
        <v>71</v>
      </c>
      <c r="E51" s="95" t="s">
        <v>72</v>
      </c>
      <c r="F51" s="95" t="s">
        <v>303</v>
      </c>
      <c r="G51" s="95" t="s">
        <v>193</v>
      </c>
      <c r="H51" s="95" t="s">
        <v>194</v>
      </c>
      <c r="I51" s="95" t="s">
        <v>302</v>
      </c>
      <c r="J51" s="126" t="s">
        <v>29</v>
      </c>
      <c r="K51" s="126" t="s">
        <v>28</v>
      </c>
      <c r="L51" s="160">
        <v>150000</v>
      </c>
      <c r="M51" s="160">
        <f t="shared" si="11"/>
        <v>97500</v>
      </c>
      <c r="N51" s="160">
        <f t="shared" si="12"/>
        <v>26250</v>
      </c>
      <c r="O51" s="160">
        <f t="shared" si="13"/>
        <v>26250</v>
      </c>
      <c r="P51" s="160">
        <v>0</v>
      </c>
      <c r="Q51" s="95" t="s">
        <v>199</v>
      </c>
      <c r="R51" s="152">
        <v>3</v>
      </c>
      <c r="S51" s="130">
        <v>0</v>
      </c>
      <c r="T51" s="130">
        <f t="shared" si="14"/>
        <v>1</v>
      </c>
      <c r="U51" s="152">
        <f t="shared" si="16"/>
        <v>3</v>
      </c>
      <c r="V51" s="130">
        <f t="shared" si="15"/>
        <v>1</v>
      </c>
      <c r="W51" s="131">
        <v>8</v>
      </c>
      <c r="X51" s="131">
        <v>10</v>
      </c>
      <c r="Y51" s="132">
        <v>60</v>
      </c>
      <c r="Z51" s="36" t="s">
        <v>200</v>
      </c>
      <c r="AA51" s="133" t="s">
        <v>201</v>
      </c>
    </row>
    <row r="52" spans="1:27" s="47" customFormat="1" ht="63.75">
      <c r="A52" s="95" t="s">
        <v>90</v>
      </c>
      <c r="B52" s="95" t="s">
        <v>192</v>
      </c>
      <c r="C52" s="95" t="s">
        <v>67</v>
      </c>
      <c r="D52" s="134" t="s">
        <v>71</v>
      </c>
      <c r="E52" s="95" t="s">
        <v>72</v>
      </c>
      <c r="F52" s="95" t="s">
        <v>305</v>
      </c>
      <c r="G52" s="95" t="s">
        <v>193</v>
      </c>
      <c r="H52" s="95" t="s">
        <v>194</v>
      </c>
      <c r="I52" s="95" t="s">
        <v>304</v>
      </c>
      <c r="J52" s="126" t="s">
        <v>29</v>
      </c>
      <c r="K52" s="126" t="s">
        <v>28</v>
      </c>
      <c r="L52" s="160">
        <v>315000</v>
      </c>
      <c r="M52" s="160">
        <f t="shared" si="11"/>
        <v>204750</v>
      </c>
      <c r="N52" s="160">
        <f t="shared" si="12"/>
        <v>55125</v>
      </c>
      <c r="O52" s="160">
        <f t="shared" si="13"/>
        <v>55125</v>
      </c>
      <c r="P52" s="160">
        <v>0</v>
      </c>
      <c r="Q52" s="95" t="s">
        <v>199</v>
      </c>
      <c r="R52" s="152">
        <v>7</v>
      </c>
      <c r="S52" s="130">
        <v>0</v>
      </c>
      <c r="T52" s="130">
        <f t="shared" si="14"/>
        <v>1</v>
      </c>
      <c r="U52" s="152">
        <f t="shared" si="16"/>
        <v>7</v>
      </c>
      <c r="V52" s="130">
        <f t="shared" si="15"/>
        <v>1</v>
      </c>
      <c r="W52" s="131">
        <v>11</v>
      </c>
      <c r="X52" s="131">
        <v>13</v>
      </c>
      <c r="Y52" s="132">
        <v>60</v>
      </c>
      <c r="Z52" s="36" t="s">
        <v>200</v>
      </c>
      <c r="AA52" s="133"/>
    </row>
    <row r="53" spans="1:27" s="47" customFormat="1" ht="63.75">
      <c r="A53" s="95" t="s">
        <v>90</v>
      </c>
      <c r="B53" s="95" t="s">
        <v>192</v>
      </c>
      <c r="C53" s="95" t="s">
        <v>67</v>
      </c>
      <c r="D53" s="134" t="s">
        <v>71</v>
      </c>
      <c r="E53" s="95" t="s">
        <v>72</v>
      </c>
      <c r="F53" s="95" t="s">
        <v>307</v>
      </c>
      <c r="G53" s="95" t="s">
        <v>193</v>
      </c>
      <c r="H53" s="95" t="s">
        <v>194</v>
      </c>
      <c r="I53" s="95" t="s">
        <v>275</v>
      </c>
      <c r="J53" s="126" t="s">
        <v>29</v>
      </c>
      <c r="K53" s="126" t="s">
        <v>28</v>
      </c>
      <c r="L53" s="160">
        <v>945000</v>
      </c>
      <c r="M53" s="160">
        <f t="shared" si="11"/>
        <v>614250</v>
      </c>
      <c r="N53" s="160">
        <f t="shared" si="12"/>
        <v>165375</v>
      </c>
      <c r="O53" s="160">
        <f t="shared" si="13"/>
        <v>165375</v>
      </c>
      <c r="P53" s="160">
        <v>0</v>
      </c>
      <c r="Q53" s="95" t="s">
        <v>199</v>
      </c>
      <c r="R53" s="152">
        <v>21</v>
      </c>
      <c r="S53" s="130">
        <v>0</v>
      </c>
      <c r="T53" s="130">
        <f t="shared" si="14"/>
        <v>1</v>
      </c>
      <c r="U53" s="152">
        <f t="shared" si="16"/>
        <v>21</v>
      </c>
      <c r="V53" s="130">
        <f t="shared" si="15"/>
        <v>1</v>
      </c>
      <c r="W53" s="131">
        <v>57</v>
      </c>
      <c r="X53" s="131">
        <v>63</v>
      </c>
      <c r="Y53" s="132">
        <v>90</v>
      </c>
      <c r="Z53" s="36" t="s">
        <v>200</v>
      </c>
      <c r="AA53" s="133"/>
    </row>
    <row r="54" spans="1:27" s="47" customFormat="1" ht="76.5">
      <c r="A54" s="95" t="s">
        <v>90</v>
      </c>
      <c r="B54" s="95" t="s">
        <v>192</v>
      </c>
      <c r="C54" s="95" t="s">
        <v>67</v>
      </c>
      <c r="D54" s="134" t="s">
        <v>71</v>
      </c>
      <c r="E54" s="95" t="s">
        <v>72</v>
      </c>
      <c r="F54" s="95" t="s">
        <v>309</v>
      </c>
      <c r="G54" s="95" t="s">
        <v>193</v>
      </c>
      <c r="H54" s="95" t="s">
        <v>194</v>
      </c>
      <c r="I54" s="95" t="s">
        <v>308</v>
      </c>
      <c r="J54" s="126" t="s">
        <v>29</v>
      </c>
      <c r="K54" s="126" t="s">
        <v>28</v>
      </c>
      <c r="L54" s="160">
        <v>2115000</v>
      </c>
      <c r="M54" s="160">
        <f t="shared" si="11"/>
        <v>1374750</v>
      </c>
      <c r="N54" s="160">
        <f t="shared" si="12"/>
        <v>370125</v>
      </c>
      <c r="O54" s="160">
        <f t="shared" si="13"/>
        <v>370125</v>
      </c>
      <c r="P54" s="160">
        <v>0</v>
      </c>
      <c r="Q54" s="95" t="s">
        <v>199</v>
      </c>
      <c r="R54" s="152">
        <v>47</v>
      </c>
      <c r="S54" s="130">
        <v>0</v>
      </c>
      <c r="T54" s="130">
        <f t="shared" si="14"/>
        <v>1</v>
      </c>
      <c r="U54" s="152">
        <f t="shared" si="16"/>
        <v>47</v>
      </c>
      <c r="V54" s="130">
        <f t="shared" si="15"/>
        <v>1</v>
      </c>
      <c r="W54" s="131">
        <v>103</v>
      </c>
      <c r="X54" s="131">
        <v>113</v>
      </c>
      <c r="Y54" s="132">
        <v>120</v>
      </c>
      <c r="Z54" s="36" t="s">
        <v>200</v>
      </c>
      <c r="AA54" s="133" t="s">
        <v>202</v>
      </c>
    </row>
    <row r="55" spans="1:27" s="47" customFormat="1" ht="63.75">
      <c r="A55" s="95" t="s">
        <v>90</v>
      </c>
      <c r="B55" s="95" t="s">
        <v>192</v>
      </c>
      <c r="C55" s="95" t="s">
        <v>67</v>
      </c>
      <c r="D55" s="134" t="s">
        <v>71</v>
      </c>
      <c r="E55" s="95" t="s">
        <v>72</v>
      </c>
      <c r="F55" s="95" t="s">
        <v>311</v>
      </c>
      <c r="G55" s="95" t="s">
        <v>193</v>
      </c>
      <c r="H55" s="95" t="s">
        <v>194</v>
      </c>
      <c r="I55" s="95" t="s">
        <v>310</v>
      </c>
      <c r="J55" s="126" t="s">
        <v>29</v>
      </c>
      <c r="K55" s="126" t="s">
        <v>28</v>
      </c>
      <c r="L55" s="160">
        <v>675000</v>
      </c>
      <c r="M55" s="160">
        <f>L55*0.65</f>
        <v>438750</v>
      </c>
      <c r="N55" s="160">
        <f>L55*0.175</f>
        <v>118124.99999999999</v>
      </c>
      <c r="O55" s="160">
        <f>L55*0.175</f>
        <v>118124.99999999999</v>
      </c>
      <c r="P55" s="160">
        <v>0</v>
      </c>
      <c r="Q55" s="95" t="s">
        <v>199</v>
      </c>
      <c r="R55" s="152">
        <v>15</v>
      </c>
      <c r="S55" s="130">
        <v>0</v>
      </c>
      <c r="T55" s="130">
        <f>U55/R55</f>
        <v>1</v>
      </c>
      <c r="U55" s="152">
        <f>R55</f>
        <v>15</v>
      </c>
      <c r="V55" s="130">
        <f>T55</f>
        <v>1</v>
      </c>
      <c r="W55" s="131">
        <v>31</v>
      </c>
      <c r="X55" s="131">
        <v>35</v>
      </c>
      <c r="Y55" s="132">
        <v>120</v>
      </c>
      <c r="Z55" s="36" t="s">
        <v>200</v>
      </c>
      <c r="AA55" s="133" t="s">
        <v>202</v>
      </c>
    </row>
    <row r="56" spans="1:28" s="47" customFormat="1" ht="89.25">
      <c r="A56" s="95" t="s">
        <v>90</v>
      </c>
      <c r="B56" s="95" t="s">
        <v>192</v>
      </c>
      <c r="C56" s="95" t="s">
        <v>95</v>
      </c>
      <c r="D56" s="134" t="s">
        <v>116</v>
      </c>
      <c r="E56" s="95" t="s">
        <v>203</v>
      </c>
      <c r="F56" s="95" t="s">
        <v>334</v>
      </c>
      <c r="G56" s="95" t="s">
        <v>193</v>
      </c>
      <c r="H56" s="95" t="s">
        <v>194</v>
      </c>
      <c r="I56" s="95" t="s">
        <v>274</v>
      </c>
      <c r="J56" s="126" t="s">
        <v>29</v>
      </c>
      <c r="K56" s="126" t="s">
        <v>28</v>
      </c>
      <c r="L56" s="160">
        <v>1770000</v>
      </c>
      <c r="M56" s="160">
        <f t="shared" si="11"/>
        <v>1150500</v>
      </c>
      <c r="N56" s="160">
        <f t="shared" si="12"/>
        <v>309750</v>
      </c>
      <c r="O56" s="160">
        <f t="shared" si="13"/>
        <v>309750</v>
      </c>
      <c r="P56" s="160">
        <v>0</v>
      </c>
      <c r="Q56" s="95" t="s">
        <v>86</v>
      </c>
      <c r="R56" s="152">
        <v>1.36</v>
      </c>
      <c r="S56" s="130">
        <v>0</v>
      </c>
      <c r="T56" s="130">
        <f t="shared" si="14"/>
        <v>1</v>
      </c>
      <c r="U56" s="152">
        <v>1.36</v>
      </c>
      <c r="V56" s="130">
        <f>S56+T56</f>
        <v>1</v>
      </c>
      <c r="W56" s="131">
        <v>107</v>
      </c>
      <c r="X56" s="131">
        <v>87</v>
      </c>
      <c r="Y56" s="132">
        <v>120</v>
      </c>
      <c r="Z56" s="36" t="s">
        <v>204</v>
      </c>
      <c r="AA56" s="133" t="s">
        <v>335</v>
      </c>
      <c r="AB56" s="47" t="s">
        <v>205</v>
      </c>
    </row>
    <row r="57" spans="1:27" s="47" customFormat="1" ht="89.25">
      <c r="A57" s="95" t="s">
        <v>90</v>
      </c>
      <c r="B57" s="95" t="s">
        <v>192</v>
      </c>
      <c r="C57" s="95" t="s">
        <v>95</v>
      </c>
      <c r="D57" s="134" t="s">
        <v>116</v>
      </c>
      <c r="E57" s="95" t="s">
        <v>203</v>
      </c>
      <c r="F57" s="95" t="s">
        <v>259</v>
      </c>
      <c r="G57" s="95" t="s">
        <v>193</v>
      </c>
      <c r="H57" s="95" t="s">
        <v>194</v>
      </c>
      <c r="I57" s="95" t="s">
        <v>336</v>
      </c>
      <c r="J57" s="126" t="s">
        <v>171</v>
      </c>
      <c r="K57" s="126" t="s">
        <v>28</v>
      </c>
      <c r="L57" s="160">
        <f>3.23*1600000</f>
        <v>5168000</v>
      </c>
      <c r="M57" s="160">
        <f t="shared" si="11"/>
        <v>3359200</v>
      </c>
      <c r="N57" s="160">
        <f t="shared" si="12"/>
        <v>904400</v>
      </c>
      <c r="O57" s="160">
        <f t="shared" si="13"/>
        <v>904400</v>
      </c>
      <c r="P57" s="160">
        <v>0</v>
      </c>
      <c r="Q57" s="95" t="s">
        <v>86</v>
      </c>
      <c r="R57" s="152">
        <v>4.514</v>
      </c>
      <c r="S57" s="130">
        <f>(2.113-0.829)/R57</f>
        <v>0.28444838280903856</v>
      </c>
      <c r="T57" s="130">
        <f>U57/R57</f>
        <v>0.7155516171909615</v>
      </c>
      <c r="U57" s="152">
        <f>(4.514-2.113)+0.829</f>
        <v>3.2300000000000004</v>
      </c>
      <c r="V57" s="130">
        <f>S57+T57</f>
        <v>1</v>
      </c>
      <c r="W57" s="131" t="s">
        <v>338</v>
      </c>
      <c r="X57" s="132" t="s">
        <v>339</v>
      </c>
      <c r="Y57" s="132">
        <v>150</v>
      </c>
      <c r="Z57" s="36" t="s">
        <v>204</v>
      </c>
      <c r="AA57" s="133" t="s">
        <v>337</v>
      </c>
    </row>
    <row r="58" spans="1:29" s="47" customFormat="1" ht="153">
      <c r="A58" s="95" t="s">
        <v>90</v>
      </c>
      <c r="B58" s="95" t="s">
        <v>192</v>
      </c>
      <c r="C58" s="95" t="s">
        <v>95</v>
      </c>
      <c r="D58" s="134" t="s">
        <v>116</v>
      </c>
      <c r="E58" s="95" t="s">
        <v>203</v>
      </c>
      <c r="F58" s="95" t="s">
        <v>340</v>
      </c>
      <c r="G58" s="95" t="s">
        <v>193</v>
      </c>
      <c r="H58" s="95" t="s">
        <v>194</v>
      </c>
      <c r="I58" s="95" t="s">
        <v>343</v>
      </c>
      <c r="J58" s="126" t="s">
        <v>117</v>
      </c>
      <c r="K58" s="126" t="s">
        <v>28</v>
      </c>
      <c r="L58" s="160">
        <f>4.448*1300000</f>
        <v>5782400.000000001</v>
      </c>
      <c r="M58" s="160">
        <f t="shared" si="11"/>
        <v>3758560.000000001</v>
      </c>
      <c r="N58" s="160">
        <f t="shared" si="12"/>
        <v>1011920.0000000001</v>
      </c>
      <c r="O58" s="160">
        <f t="shared" si="13"/>
        <v>1011920.0000000001</v>
      </c>
      <c r="P58" s="160">
        <v>0</v>
      </c>
      <c r="Q58" s="95" t="s">
        <v>86</v>
      </c>
      <c r="R58" s="152">
        <v>8.395</v>
      </c>
      <c r="S58" s="130">
        <v>0</v>
      </c>
      <c r="T58" s="130">
        <f t="shared" si="14"/>
        <v>0.5298391899940441</v>
      </c>
      <c r="U58" s="152">
        <v>4.448</v>
      </c>
      <c r="V58" s="130">
        <f>S58+T58</f>
        <v>0.5298391899940441</v>
      </c>
      <c r="W58" s="131" t="s">
        <v>341</v>
      </c>
      <c r="X58" s="131" t="s">
        <v>342</v>
      </c>
      <c r="Y58" s="132"/>
      <c r="Z58" s="36" t="s">
        <v>204</v>
      </c>
      <c r="AA58" s="133" t="s">
        <v>344</v>
      </c>
      <c r="AB58" s="47" t="s">
        <v>206</v>
      </c>
      <c r="AC58" s="47" t="s">
        <v>207</v>
      </c>
    </row>
    <row r="59" spans="1:29" s="59" customFormat="1" ht="102">
      <c r="A59" s="73" t="s">
        <v>90</v>
      </c>
      <c r="B59" s="73" t="s">
        <v>192</v>
      </c>
      <c r="C59" s="73" t="s">
        <v>95</v>
      </c>
      <c r="D59" s="161" t="s">
        <v>116</v>
      </c>
      <c r="E59" s="73" t="s">
        <v>203</v>
      </c>
      <c r="F59" s="73" t="s">
        <v>346</v>
      </c>
      <c r="G59" s="73" t="s">
        <v>193</v>
      </c>
      <c r="H59" s="73" t="s">
        <v>194</v>
      </c>
      <c r="I59" s="73" t="s">
        <v>345</v>
      </c>
      <c r="J59" s="140" t="s">
        <v>117</v>
      </c>
      <c r="K59" s="140" t="s">
        <v>28</v>
      </c>
      <c r="L59" s="149">
        <f>1500000*3.64</f>
        <v>5460000</v>
      </c>
      <c r="M59" s="162">
        <f t="shared" si="11"/>
        <v>3549000</v>
      </c>
      <c r="N59" s="162">
        <f t="shared" si="12"/>
        <v>955499.9999999999</v>
      </c>
      <c r="O59" s="162">
        <f t="shared" si="13"/>
        <v>955499.9999999999</v>
      </c>
      <c r="P59" s="162">
        <v>0</v>
      </c>
      <c r="Q59" s="73" t="s">
        <v>86</v>
      </c>
      <c r="R59" s="155">
        <v>6.14</v>
      </c>
      <c r="S59" s="143">
        <v>0</v>
      </c>
      <c r="T59" s="143">
        <f t="shared" si="14"/>
        <v>0.5928338762214984</v>
      </c>
      <c r="U59" s="155">
        <v>3.64</v>
      </c>
      <c r="V59" s="143">
        <f>S59+T59</f>
        <v>0.5928338762214984</v>
      </c>
      <c r="W59" s="144" t="s">
        <v>208</v>
      </c>
      <c r="X59" s="144" t="s">
        <v>209</v>
      </c>
      <c r="Y59" s="145"/>
      <c r="Z59" s="55" t="s">
        <v>204</v>
      </c>
      <c r="AA59" s="165" t="s">
        <v>267</v>
      </c>
      <c r="AB59" s="58" t="s">
        <v>210</v>
      </c>
      <c r="AC59" s="59" t="s">
        <v>207</v>
      </c>
    </row>
    <row r="60" spans="1:44" s="52" customFormat="1" ht="76.5">
      <c r="A60" s="36" t="s">
        <v>90</v>
      </c>
      <c r="B60" s="36" t="s">
        <v>211</v>
      </c>
      <c r="C60" s="36" t="s">
        <v>66</v>
      </c>
      <c r="D60" s="96" t="s">
        <v>119</v>
      </c>
      <c r="E60" s="36" t="s">
        <v>72</v>
      </c>
      <c r="F60" s="36" t="s">
        <v>286</v>
      </c>
      <c r="G60" s="36" t="s">
        <v>283</v>
      </c>
      <c r="H60" s="36" t="s">
        <v>212</v>
      </c>
      <c r="I60" s="36" t="s">
        <v>284</v>
      </c>
      <c r="J60" s="97" t="s">
        <v>29</v>
      </c>
      <c r="K60" s="97" t="s">
        <v>28</v>
      </c>
      <c r="L60" s="98">
        <v>500000</v>
      </c>
      <c r="M60" s="98">
        <f aca="true" t="shared" si="17" ref="M60:M73">L60*0.65</f>
        <v>325000</v>
      </c>
      <c r="N60" s="98">
        <f aca="true" t="shared" si="18" ref="N60:N73">L60*0.175</f>
        <v>87500</v>
      </c>
      <c r="O60" s="98">
        <f aca="true" t="shared" si="19" ref="O60:O73">L60*0.175</f>
        <v>87500</v>
      </c>
      <c r="P60" s="98">
        <v>0</v>
      </c>
      <c r="Q60" s="36" t="s">
        <v>77</v>
      </c>
      <c r="R60" s="99">
        <v>1</v>
      </c>
      <c r="S60" s="100">
        <v>0</v>
      </c>
      <c r="T60" s="101">
        <f t="shared" si="14"/>
        <v>1</v>
      </c>
      <c r="U60" s="99">
        <v>1</v>
      </c>
      <c r="V60" s="102">
        <f aca="true" t="shared" si="20" ref="V60:V73">S60+T60</f>
        <v>1</v>
      </c>
      <c r="W60" s="103">
        <v>94</v>
      </c>
      <c r="X60" s="103">
        <v>106</v>
      </c>
      <c r="Y60" s="36">
        <v>70</v>
      </c>
      <c r="Z60" s="36" t="s">
        <v>285</v>
      </c>
      <c r="AA60" s="48" t="s">
        <v>213</v>
      </c>
      <c r="AB60" s="48"/>
      <c r="AC60" s="48"/>
      <c r="AD60" s="48"/>
      <c r="AE60" s="48"/>
      <c r="AF60" s="48"/>
      <c r="AG60" s="48"/>
      <c r="AH60" s="48"/>
      <c r="AI60" s="48"/>
      <c r="AJ60" s="48"/>
      <c r="AK60" s="48"/>
      <c r="AL60" s="48"/>
      <c r="AM60" s="48"/>
      <c r="AN60" s="48"/>
      <c r="AO60" s="48"/>
      <c r="AP60" s="48"/>
      <c r="AQ60" s="48"/>
      <c r="AR60" s="48"/>
    </row>
    <row r="61" spans="1:44" s="52" customFormat="1" ht="76.5">
      <c r="A61" s="36" t="s">
        <v>90</v>
      </c>
      <c r="B61" s="36" t="s">
        <v>211</v>
      </c>
      <c r="C61" s="36" t="s">
        <v>66</v>
      </c>
      <c r="D61" s="96" t="s">
        <v>119</v>
      </c>
      <c r="E61" s="36" t="s">
        <v>72</v>
      </c>
      <c r="F61" s="36" t="s">
        <v>287</v>
      </c>
      <c r="G61" s="36" t="s">
        <v>283</v>
      </c>
      <c r="H61" s="36" t="s">
        <v>212</v>
      </c>
      <c r="I61" s="36" t="s">
        <v>214</v>
      </c>
      <c r="J61" s="97" t="s">
        <v>29</v>
      </c>
      <c r="K61" s="97" t="s">
        <v>28</v>
      </c>
      <c r="L61" s="98">
        <v>300000</v>
      </c>
      <c r="M61" s="98">
        <f t="shared" si="17"/>
        <v>195000</v>
      </c>
      <c r="N61" s="98">
        <f t="shared" si="18"/>
        <v>52500</v>
      </c>
      <c r="O61" s="98">
        <f t="shared" si="19"/>
        <v>52500</v>
      </c>
      <c r="P61" s="98">
        <v>0</v>
      </c>
      <c r="Q61" s="36" t="s">
        <v>77</v>
      </c>
      <c r="R61" s="99">
        <v>1</v>
      </c>
      <c r="S61" s="100">
        <v>0</v>
      </c>
      <c r="T61" s="101">
        <f t="shared" si="14"/>
        <v>1</v>
      </c>
      <c r="U61" s="99">
        <v>1</v>
      </c>
      <c r="V61" s="102">
        <f t="shared" si="20"/>
        <v>1</v>
      </c>
      <c r="W61" s="103">
        <v>108</v>
      </c>
      <c r="X61" s="103">
        <v>142</v>
      </c>
      <c r="Y61" s="36">
        <v>70</v>
      </c>
      <c r="Z61" s="36" t="s">
        <v>285</v>
      </c>
      <c r="AA61" s="48" t="s">
        <v>215</v>
      </c>
      <c r="AB61" s="48"/>
      <c r="AC61" s="48"/>
      <c r="AD61" s="48"/>
      <c r="AE61" s="48"/>
      <c r="AF61" s="48"/>
      <c r="AG61" s="48"/>
      <c r="AH61" s="48"/>
      <c r="AI61" s="48"/>
      <c r="AJ61" s="48"/>
      <c r="AK61" s="48"/>
      <c r="AL61" s="48"/>
      <c r="AM61" s="48"/>
      <c r="AN61" s="48"/>
      <c r="AO61" s="48"/>
      <c r="AP61" s="48"/>
      <c r="AQ61" s="48"/>
      <c r="AR61" s="48"/>
    </row>
    <row r="62" spans="1:44" s="52" customFormat="1" ht="63.75">
      <c r="A62" s="36" t="s">
        <v>90</v>
      </c>
      <c r="B62" s="36" t="s">
        <v>211</v>
      </c>
      <c r="C62" s="36" t="s">
        <v>66</v>
      </c>
      <c r="D62" s="96" t="s">
        <v>119</v>
      </c>
      <c r="E62" s="36" t="s">
        <v>72</v>
      </c>
      <c r="F62" s="36" t="s">
        <v>288</v>
      </c>
      <c r="G62" s="36" t="s">
        <v>283</v>
      </c>
      <c r="H62" s="36" t="s">
        <v>212</v>
      </c>
      <c r="I62" s="36" t="s">
        <v>216</v>
      </c>
      <c r="J62" s="97" t="s">
        <v>29</v>
      </c>
      <c r="K62" s="97" t="s">
        <v>28</v>
      </c>
      <c r="L62" s="98">
        <v>400000</v>
      </c>
      <c r="M62" s="98">
        <f t="shared" si="17"/>
        <v>260000</v>
      </c>
      <c r="N62" s="98">
        <f t="shared" si="18"/>
        <v>70000</v>
      </c>
      <c r="O62" s="98">
        <f t="shared" si="19"/>
        <v>70000</v>
      </c>
      <c r="P62" s="98">
        <v>0</v>
      </c>
      <c r="Q62" s="36" t="s">
        <v>77</v>
      </c>
      <c r="R62" s="99">
        <v>1</v>
      </c>
      <c r="S62" s="100">
        <v>0</v>
      </c>
      <c r="T62" s="101">
        <f t="shared" si="14"/>
        <v>1</v>
      </c>
      <c r="U62" s="99">
        <v>1</v>
      </c>
      <c r="V62" s="102">
        <f t="shared" si="20"/>
        <v>1</v>
      </c>
      <c r="W62" s="103">
        <v>51</v>
      </c>
      <c r="X62" s="103">
        <v>69</v>
      </c>
      <c r="Y62" s="36">
        <v>70</v>
      </c>
      <c r="Z62" s="36" t="s">
        <v>285</v>
      </c>
      <c r="AA62" s="48" t="s">
        <v>217</v>
      </c>
      <c r="AB62" s="48"/>
      <c r="AC62" s="48"/>
      <c r="AD62" s="48"/>
      <c r="AE62" s="48"/>
      <c r="AF62" s="48"/>
      <c r="AG62" s="48"/>
      <c r="AH62" s="48"/>
      <c r="AI62" s="48"/>
      <c r="AJ62" s="48"/>
      <c r="AK62" s="48"/>
      <c r="AL62" s="48"/>
      <c r="AM62" s="48"/>
      <c r="AN62" s="48"/>
      <c r="AO62" s="48"/>
      <c r="AP62" s="48"/>
      <c r="AQ62" s="48"/>
      <c r="AR62" s="48"/>
    </row>
    <row r="63" spans="1:44" s="69" customFormat="1" ht="76.5">
      <c r="A63" s="55" t="s">
        <v>90</v>
      </c>
      <c r="B63" s="55" t="s">
        <v>211</v>
      </c>
      <c r="C63" s="55" t="s">
        <v>118</v>
      </c>
      <c r="D63" s="60" t="s">
        <v>119</v>
      </c>
      <c r="E63" s="55" t="s">
        <v>72</v>
      </c>
      <c r="F63" s="55" t="s">
        <v>260</v>
      </c>
      <c r="G63" s="55" t="s">
        <v>283</v>
      </c>
      <c r="H63" s="55" t="s">
        <v>212</v>
      </c>
      <c r="I63" s="61" t="s">
        <v>143</v>
      </c>
      <c r="J63" s="62" t="s">
        <v>29</v>
      </c>
      <c r="K63" s="62" t="s">
        <v>28</v>
      </c>
      <c r="L63" s="63">
        <v>3670000</v>
      </c>
      <c r="M63" s="63">
        <f t="shared" si="17"/>
        <v>2385500</v>
      </c>
      <c r="N63" s="63">
        <f t="shared" si="18"/>
        <v>642250</v>
      </c>
      <c r="O63" s="63">
        <f t="shared" si="19"/>
        <v>642250</v>
      </c>
      <c r="P63" s="63">
        <v>0</v>
      </c>
      <c r="Q63" s="55" t="s">
        <v>77</v>
      </c>
      <c r="R63" s="64">
        <v>1</v>
      </c>
      <c r="S63" s="65">
        <v>0</v>
      </c>
      <c r="T63" s="66">
        <f t="shared" si="14"/>
        <v>1</v>
      </c>
      <c r="U63" s="64">
        <v>1</v>
      </c>
      <c r="V63" s="67">
        <f t="shared" si="20"/>
        <v>1</v>
      </c>
      <c r="W63" s="68" t="s">
        <v>256</v>
      </c>
      <c r="X63" s="68" t="s">
        <v>261</v>
      </c>
      <c r="Y63" s="55">
        <v>150</v>
      </c>
      <c r="Z63" s="72" t="s">
        <v>290</v>
      </c>
      <c r="AA63" s="56" t="s">
        <v>218</v>
      </c>
      <c r="AB63" s="56"/>
      <c r="AC63" s="56"/>
      <c r="AD63" s="56"/>
      <c r="AE63" s="56"/>
      <c r="AF63" s="56"/>
      <c r="AG63" s="56"/>
      <c r="AH63" s="56"/>
      <c r="AI63" s="56"/>
      <c r="AJ63" s="56"/>
      <c r="AK63" s="56"/>
      <c r="AL63" s="56"/>
      <c r="AM63" s="56"/>
      <c r="AN63" s="56"/>
      <c r="AO63" s="56"/>
      <c r="AP63" s="56"/>
      <c r="AQ63" s="56"/>
      <c r="AR63" s="56"/>
    </row>
    <row r="64" spans="1:44" s="52" customFormat="1" ht="51">
      <c r="A64" s="36" t="s">
        <v>90</v>
      </c>
      <c r="B64" s="36" t="s">
        <v>211</v>
      </c>
      <c r="C64" s="36" t="s">
        <v>118</v>
      </c>
      <c r="D64" s="96" t="s">
        <v>119</v>
      </c>
      <c r="E64" s="36" t="s">
        <v>72</v>
      </c>
      <c r="F64" s="36" t="s">
        <v>289</v>
      </c>
      <c r="G64" s="36" t="s">
        <v>283</v>
      </c>
      <c r="H64" s="36" t="s">
        <v>212</v>
      </c>
      <c r="I64" s="36" t="s">
        <v>219</v>
      </c>
      <c r="J64" s="97" t="s">
        <v>29</v>
      </c>
      <c r="K64" s="97" t="s">
        <v>28</v>
      </c>
      <c r="L64" s="98">
        <f>3868000+304400</f>
        <v>4172400</v>
      </c>
      <c r="M64" s="98">
        <f t="shared" si="17"/>
        <v>2712060</v>
      </c>
      <c r="N64" s="98">
        <f t="shared" si="18"/>
        <v>730170</v>
      </c>
      <c r="O64" s="98">
        <f t="shared" si="19"/>
        <v>730170</v>
      </c>
      <c r="P64" s="98">
        <v>0</v>
      </c>
      <c r="Q64" s="36" t="s">
        <v>77</v>
      </c>
      <c r="R64" s="99">
        <v>1</v>
      </c>
      <c r="S64" s="100">
        <v>0</v>
      </c>
      <c r="T64" s="101">
        <f t="shared" si="14"/>
        <v>1</v>
      </c>
      <c r="U64" s="99">
        <v>1</v>
      </c>
      <c r="V64" s="102">
        <f t="shared" si="20"/>
        <v>1</v>
      </c>
      <c r="W64" s="103">
        <v>214</v>
      </c>
      <c r="X64" s="103">
        <v>236</v>
      </c>
      <c r="Y64" s="36">
        <v>150</v>
      </c>
      <c r="Z64" s="36" t="s">
        <v>290</v>
      </c>
      <c r="AA64" s="48" t="s">
        <v>220</v>
      </c>
      <c r="AB64" s="48" t="s">
        <v>221</v>
      </c>
      <c r="AC64" s="48"/>
      <c r="AD64" s="48"/>
      <c r="AE64" s="48"/>
      <c r="AF64" s="48"/>
      <c r="AG64" s="48"/>
      <c r="AH64" s="48"/>
      <c r="AI64" s="48"/>
      <c r="AJ64" s="48"/>
      <c r="AK64" s="48"/>
      <c r="AL64" s="48"/>
      <c r="AM64" s="48"/>
      <c r="AN64" s="48"/>
      <c r="AO64" s="48"/>
      <c r="AP64" s="48"/>
      <c r="AQ64" s="48"/>
      <c r="AR64" s="48"/>
    </row>
    <row r="65" spans="1:44" s="52" customFormat="1" ht="63.75">
      <c r="A65" s="36" t="s">
        <v>90</v>
      </c>
      <c r="B65" s="36" t="s">
        <v>211</v>
      </c>
      <c r="C65" s="36" t="s">
        <v>118</v>
      </c>
      <c r="D65" s="96" t="s">
        <v>262</v>
      </c>
      <c r="E65" s="36" t="s">
        <v>97</v>
      </c>
      <c r="F65" s="36" t="s">
        <v>263</v>
      </c>
      <c r="G65" s="36" t="s">
        <v>283</v>
      </c>
      <c r="H65" s="36" t="s">
        <v>212</v>
      </c>
      <c r="I65" s="36" t="s">
        <v>284</v>
      </c>
      <c r="J65" s="97" t="s">
        <v>171</v>
      </c>
      <c r="K65" s="97" t="s">
        <v>28</v>
      </c>
      <c r="L65" s="98">
        <v>3694000</v>
      </c>
      <c r="M65" s="98">
        <f>L65*0.65</f>
        <v>2401100</v>
      </c>
      <c r="N65" s="98">
        <f>L65*0.175</f>
        <v>646450</v>
      </c>
      <c r="O65" s="98">
        <f>L65*0.175</f>
        <v>646450</v>
      </c>
      <c r="P65" s="98">
        <v>0</v>
      </c>
      <c r="Q65" s="36" t="s">
        <v>77</v>
      </c>
      <c r="R65" s="99">
        <v>1</v>
      </c>
      <c r="S65" s="101">
        <v>0.441</v>
      </c>
      <c r="T65" s="101">
        <f>U65/R65</f>
        <v>0.56</v>
      </c>
      <c r="U65" s="99">
        <v>0.56</v>
      </c>
      <c r="V65" s="102">
        <f>S65+T65</f>
        <v>1.0010000000000001</v>
      </c>
      <c r="W65" s="103">
        <v>129</v>
      </c>
      <c r="X65" s="103">
        <v>171</v>
      </c>
      <c r="Y65" s="36">
        <v>150</v>
      </c>
      <c r="Z65" s="36" t="s">
        <v>290</v>
      </c>
      <c r="AA65" s="48" t="s">
        <v>222</v>
      </c>
      <c r="AB65" s="48" t="s">
        <v>223</v>
      </c>
      <c r="AC65" s="48"/>
      <c r="AD65" s="48"/>
      <c r="AE65" s="48"/>
      <c r="AF65" s="48"/>
      <c r="AG65" s="48"/>
      <c r="AH65" s="48"/>
      <c r="AI65" s="48"/>
      <c r="AJ65" s="48"/>
      <c r="AK65" s="48"/>
      <c r="AL65" s="48"/>
      <c r="AM65" s="48"/>
      <c r="AN65" s="48"/>
      <c r="AO65" s="48"/>
      <c r="AP65" s="48"/>
      <c r="AQ65" s="48"/>
      <c r="AR65" s="48"/>
    </row>
    <row r="66" spans="1:44" s="52" customFormat="1" ht="51">
      <c r="A66" s="36" t="s">
        <v>90</v>
      </c>
      <c r="B66" s="36" t="s">
        <v>211</v>
      </c>
      <c r="C66" s="36" t="s">
        <v>67</v>
      </c>
      <c r="D66" s="96" t="s">
        <v>224</v>
      </c>
      <c r="E66" s="36" t="s">
        <v>72</v>
      </c>
      <c r="F66" s="36" t="s">
        <v>323</v>
      </c>
      <c r="G66" s="36" t="s">
        <v>283</v>
      </c>
      <c r="H66" s="36" t="s">
        <v>212</v>
      </c>
      <c r="I66" s="36" t="s">
        <v>225</v>
      </c>
      <c r="J66" s="97" t="s">
        <v>29</v>
      </c>
      <c r="K66" s="97" t="s">
        <v>28</v>
      </c>
      <c r="L66" s="98">
        <v>450000</v>
      </c>
      <c r="M66" s="98">
        <f t="shared" si="17"/>
        <v>292500</v>
      </c>
      <c r="N66" s="98">
        <f t="shared" si="18"/>
        <v>78750</v>
      </c>
      <c r="O66" s="98">
        <f t="shared" si="19"/>
        <v>78750</v>
      </c>
      <c r="P66" s="98">
        <v>0</v>
      </c>
      <c r="Q66" s="36" t="s">
        <v>138</v>
      </c>
      <c r="R66" s="99">
        <v>11</v>
      </c>
      <c r="S66" s="100">
        <v>0</v>
      </c>
      <c r="T66" s="101">
        <f t="shared" si="14"/>
        <v>1</v>
      </c>
      <c r="U66" s="99">
        <v>11</v>
      </c>
      <c r="V66" s="102">
        <f t="shared" si="20"/>
        <v>1</v>
      </c>
      <c r="W66" s="103">
        <v>230</v>
      </c>
      <c r="X66" s="103">
        <v>304</v>
      </c>
      <c r="Y66" s="36">
        <v>50</v>
      </c>
      <c r="Z66" s="36" t="s">
        <v>325</v>
      </c>
      <c r="AA66" s="48" t="s">
        <v>226</v>
      </c>
      <c r="AB66" s="48"/>
      <c r="AC66" s="48"/>
      <c r="AD66" s="48"/>
      <c r="AE66" s="48"/>
      <c r="AF66" s="48"/>
      <c r="AG66" s="48"/>
      <c r="AH66" s="48"/>
      <c r="AI66" s="48"/>
      <c r="AJ66" s="48"/>
      <c r="AK66" s="48"/>
      <c r="AL66" s="48"/>
      <c r="AM66" s="48"/>
      <c r="AN66" s="48"/>
      <c r="AO66" s="48"/>
      <c r="AP66" s="48"/>
      <c r="AQ66" s="48"/>
      <c r="AR66" s="48"/>
    </row>
    <row r="67" spans="1:44" s="52" customFormat="1" ht="51">
      <c r="A67" s="36" t="s">
        <v>90</v>
      </c>
      <c r="B67" s="36" t="s">
        <v>211</v>
      </c>
      <c r="C67" s="36" t="s">
        <v>67</v>
      </c>
      <c r="D67" s="96" t="s">
        <v>224</v>
      </c>
      <c r="E67" s="36" t="s">
        <v>72</v>
      </c>
      <c r="F67" s="36" t="s">
        <v>324</v>
      </c>
      <c r="G67" s="36" t="s">
        <v>283</v>
      </c>
      <c r="H67" s="36" t="s">
        <v>212</v>
      </c>
      <c r="I67" s="36" t="s">
        <v>227</v>
      </c>
      <c r="J67" s="97" t="s">
        <v>29</v>
      </c>
      <c r="K67" s="97" t="s">
        <v>28</v>
      </c>
      <c r="L67" s="98">
        <v>300000</v>
      </c>
      <c r="M67" s="98">
        <f t="shared" si="17"/>
        <v>195000</v>
      </c>
      <c r="N67" s="98">
        <f t="shared" si="18"/>
        <v>52500</v>
      </c>
      <c r="O67" s="98">
        <f t="shared" si="19"/>
        <v>52500</v>
      </c>
      <c r="P67" s="98">
        <v>0</v>
      </c>
      <c r="Q67" s="36" t="s">
        <v>138</v>
      </c>
      <c r="R67" s="99">
        <v>6</v>
      </c>
      <c r="S67" s="100">
        <v>0</v>
      </c>
      <c r="T67" s="101">
        <f t="shared" si="14"/>
        <v>1</v>
      </c>
      <c r="U67" s="99">
        <v>6</v>
      </c>
      <c r="V67" s="102">
        <f t="shared" si="20"/>
        <v>1</v>
      </c>
      <c r="W67" s="103">
        <v>18</v>
      </c>
      <c r="X67" s="103">
        <v>24</v>
      </c>
      <c r="Y67" s="36">
        <v>50</v>
      </c>
      <c r="Z67" s="36" t="s">
        <v>325</v>
      </c>
      <c r="AA67" s="48" t="s">
        <v>228</v>
      </c>
      <c r="AB67" s="48"/>
      <c r="AC67" s="48"/>
      <c r="AD67" s="48"/>
      <c r="AE67" s="48"/>
      <c r="AF67" s="48"/>
      <c r="AG67" s="48"/>
      <c r="AH67" s="48"/>
      <c r="AI67" s="48"/>
      <c r="AJ67" s="48"/>
      <c r="AK67" s="48"/>
      <c r="AL67" s="48"/>
      <c r="AM67" s="48"/>
      <c r="AN67" s="48"/>
      <c r="AO67" s="48"/>
      <c r="AP67" s="48"/>
      <c r="AQ67" s="48"/>
      <c r="AR67" s="48"/>
    </row>
    <row r="68" spans="1:44" s="52" customFormat="1" ht="51">
      <c r="A68" s="36" t="s">
        <v>90</v>
      </c>
      <c r="B68" s="36" t="s">
        <v>211</v>
      </c>
      <c r="C68" s="36" t="s">
        <v>67</v>
      </c>
      <c r="D68" s="96" t="s">
        <v>224</v>
      </c>
      <c r="E68" s="36" t="s">
        <v>72</v>
      </c>
      <c r="F68" s="36" t="s">
        <v>326</v>
      </c>
      <c r="G68" s="36" t="s">
        <v>283</v>
      </c>
      <c r="H68" s="36" t="s">
        <v>212</v>
      </c>
      <c r="I68" s="36" t="s">
        <v>229</v>
      </c>
      <c r="J68" s="97" t="s">
        <v>29</v>
      </c>
      <c r="K68" s="97" t="s">
        <v>28</v>
      </c>
      <c r="L68" s="98">
        <v>150000</v>
      </c>
      <c r="M68" s="98">
        <f t="shared" si="17"/>
        <v>97500</v>
      </c>
      <c r="N68" s="98">
        <f t="shared" si="18"/>
        <v>26250</v>
      </c>
      <c r="O68" s="98">
        <f t="shared" si="19"/>
        <v>26250</v>
      </c>
      <c r="P68" s="98">
        <v>0</v>
      </c>
      <c r="Q68" s="36" t="s">
        <v>138</v>
      </c>
      <c r="R68" s="99">
        <v>3</v>
      </c>
      <c r="S68" s="100">
        <v>0</v>
      </c>
      <c r="T68" s="101">
        <f t="shared" si="14"/>
        <v>1</v>
      </c>
      <c r="U68" s="99">
        <v>3</v>
      </c>
      <c r="V68" s="102">
        <f t="shared" si="20"/>
        <v>1</v>
      </c>
      <c r="W68" s="103">
        <v>13</v>
      </c>
      <c r="X68" s="103">
        <v>17</v>
      </c>
      <c r="Y68" s="36">
        <v>50</v>
      </c>
      <c r="Z68" s="36" t="s">
        <v>325</v>
      </c>
      <c r="AA68" s="48"/>
      <c r="AB68" s="48"/>
      <c r="AC68" s="48"/>
      <c r="AD68" s="48"/>
      <c r="AE68" s="48"/>
      <c r="AF68" s="48"/>
      <c r="AG68" s="48"/>
      <c r="AH68" s="48"/>
      <c r="AI68" s="48"/>
      <c r="AJ68" s="48"/>
      <c r="AK68" s="48"/>
      <c r="AL68" s="48"/>
      <c r="AM68" s="48"/>
      <c r="AN68" s="48"/>
      <c r="AO68" s="48"/>
      <c r="AP68" s="48"/>
      <c r="AQ68" s="48"/>
      <c r="AR68" s="48"/>
    </row>
    <row r="69" spans="1:44" s="52" customFormat="1" ht="51">
      <c r="A69" s="36" t="s">
        <v>90</v>
      </c>
      <c r="B69" s="36" t="s">
        <v>211</v>
      </c>
      <c r="C69" s="36" t="s">
        <v>67</v>
      </c>
      <c r="D69" s="96" t="s">
        <v>224</v>
      </c>
      <c r="E69" s="36" t="s">
        <v>72</v>
      </c>
      <c r="F69" s="36" t="s">
        <v>327</v>
      </c>
      <c r="G69" s="36" t="s">
        <v>283</v>
      </c>
      <c r="H69" s="36" t="s">
        <v>212</v>
      </c>
      <c r="I69" s="36" t="s">
        <v>230</v>
      </c>
      <c r="J69" s="97" t="s">
        <v>29</v>
      </c>
      <c r="K69" s="97" t="s">
        <v>28</v>
      </c>
      <c r="L69" s="98">
        <v>800000</v>
      </c>
      <c r="M69" s="98">
        <f t="shared" si="17"/>
        <v>520000</v>
      </c>
      <c r="N69" s="98">
        <f t="shared" si="18"/>
        <v>140000</v>
      </c>
      <c r="O69" s="98">
        <f t="shared" si="19"/>
        <v>140000</v>
      </c>
      <c r="P69" s="98">
        <v>0</v>
      </c>
      <c r="Q69" s="36" t="s">
        <v>138</v>
      </c>
      <c r="R69" s="99">
        <v>20</v>
      </c>
      <c r="S69" s="100">
        <v>0</v>
      </c>
      <c r="T69" s="101">
        <f t="shared" si="14"/>
        <v>1</v>
      </c>
      <c r="U69" s="99">
        <v>20</v>
      </c>
      <c r="V69" s="102">
        <f t="shared" si="20"/>
        <v>1</v>
      </c>
      <c r="W69" s="103">
        <v>285</v>
      </c>
      <c r="X69" s="103">
        <v>380</v>
      </c>
      <c r="Y69" s="36">
        <v>50</v>
      </c>
      <c r="Z69" s="36" t="s">
        <v>325</v>
      </c>
      <c r="AA69" s="48" t="s">
        <v>231</v>
      </c>
      <c r="AB69" s="48"/>
      <c r="AC69" s="48"/>
      <c r="AD69" s="48"/>
      <c r="AE69" s="48"/>
      <c r="AF69" s="48"/>
      <c r="AG69" s="48"/>
      <c r="AH69" s="48"/>
      <c r="AI69" s="48"/>
      <c r="AJ69" s="48"/>
      <c r="AK69" s="48"/>
      <c r="AL69" s="48"/>
      <c r="AM69" s="48"/>
      <c r="AN69" s="48"/>
      <c r="AO69" s="48"/>
      <c r="AP69" s="48"/>
      <c r="AQ69" s="48"/>
      <c r="AR69" s="48"/>
    </row>
    <row r="70" spans="1:44" s="52" customFormat="1" ht="51">
      <c r="A70" s="36" t="s">
        <v>90</v>
      </c>
      <c r="B70" s="36" t="s">
        <v>211</v>
      </c>
      <c r="C70" s="36" t="s">
        <v>67</v>
      </c>
      <c r="D70" s="96" t="s">
        <v>224</v>
      </c>
      <c r="E70" s="36" t="s">
        <v>72</v>
      </c>
      <c r="F70" s="36" t="s">
        <v>328</v>
      </c>
      <c r="G70" s="36" t="s">
        <v>283</v>
      </c>
      <c r="H70" s="36" t="s">
        <v>212</v>
      </c>
      <c r="I70" s="36" t="s">
        <v>284</v>
      </c>
      <c r="J70" s="97" t="s">
        <v>29</v>
      </c>
      <c r="K70" s="97" t="s">
        <v>28</v>
      </c>
      <c r="L70" s="98">
        <v>350000</v>
      </c>
      <c r="M70" s="98">
        <f t="shared" si="17"/>
        <v>227500</v>
      </c>
      <c r="N70" s="98">
        <f t="shared" si="18"/>
        <v>61249.99999999999</v>
      </c>
      <c r="O70" s="98">
        <f t="shared" si="19"/>
        <v>61249.99999999999</v>
      </c>
      <c r="P70" s="98">
        <v>0</v>
      </c>
      <c r="Q70" s="36" t="s">
        <v>138</v>
      </c>
      <c r="R70" s="99">
        <v>7</v>
      </c>
      <c r="S70" s="100">
        <v>0</v>
      </c>
      <c r="T70" s="101">
        <f t="shared" si="14"/>
        <v>1</v>
      </c>
      <c r="U70" s="99">
        <v>7</v>
      </c>
      <c r="V70" s="102">
        <f t="shared" si="20"/>
        <v>1</v>
      </c>
      <c r="W70" s="103">
        <v>22</v>
      </c>
      <c r="X70" s="103">
        <v>28</v>
      </c>
      <c r="Y70" s="36">
        <v>90</v>
      </c>
      <c r="Z70" s="36" t="s">
        <v>325</v>
      </c>
      <c r="AA70" s="48"/>
      <c r="AB70" s="48"/>
      <c r="AC70" s="48"/>
      <c r="AD70" s="48"/>
      <c r="AE70" s="48"/>
      <c r="AF70" s="48"/>
      <c r="AG70" s="48"/>
      <c r="AH70" s="48"/>
      <c r="AI70" s="48"/>
      <c r="AJ70" s="48"/>
      <c r="AK70" s="48"/>
      <c r="AL70" s="48"/>
      <c r="AM70" s="48"/>
      <c r="AN70" s="48"/>
      <c r="AO70" s="48"/>
      <c r="AP70" s="48"/>
      <c r="AQ70" s="48"/>
      <c r="AR70" s="48"/>
    </row>
    <row r="71" spans="1:44" s="69" customFormat="1" ht="63.75">
      <c r="A71" s="55" t="s">
        <v>90</v>
      </c>
      <c r="B71" s="55" t="s">
        <v>211</v>
      </c>
      <c r="C71" s="55" t="s">
        <v>67</v>
      </c>
      <c r="D71" s="60" t="s">
        <v>224</v>
      </c>
      <c r="E71" s="55" t="s">
        <v>72</v>
      </c>
      <c r="F71" s="55" t="s">
        <v>329</v>
      </c>
      <c r="G71" s="55" t="s">
        <v>283</v>
      </c>
      <c r="H71" s="55" t="s">
        <v>212</v>
      </c>
      <c r="I71" s="55" t="s">
        <v>232</v>
      </c>
      <c r="J71" s="62" t="s">
        <v>29</v>
      </c>
      <c r="K71" s="62" t="s">
        <v>28</v>
      </c>
      <c r="L71" s="63">
        <v>343000</v>
      </c>
      <c r="M71" s="63">
        <f>L71*0.65</f>
        <v>222950</v>
      </c>
      <c r="N71" s="63">
        <f>L71*0.175</f>
        <v>60024.99999999999</v>
      </c>
      <c r="O71" s="63">
        <f>L71*0.175</f>
        <v>60024.99999999999</v>
      </c>
      <c r="P71" s="63">
        <v>0</v>
      </c>
      <c r="Q71" s="55" t="s">
        <v>138</v>
      </c>
      <c r="R71" s="64">
        <v>8</v>
      </c>
      <c r="S71" s="65">
        <v>0</v>
      </c>
      <c r="T71" s="66">
        <f>U71/R71</f>
        <v>1</v>
      </c>
      <c r="U71" s="64">
        <v>8</v>
      </c>
      <c r="V71" s="67">
        <f>S71+T71</f>
        <v>1</v>
      </c>
      <c r="W71" s="70">
        <v>43</v>
      </c>
      <c r="X71" s="70">
        <v>58</v>
      </c>
      <c r="Y71" s="55">
        <v>50</v>
      </c>
      <c r="Z71" s="55" t="s">
        <v>325</v>
      </c>
      <c r="AA71" s="56" t="s">
        <v>233</v>
      </c>
      <c r="AB71" s="56"/>
      <c r="AC71" s="56"/>
      <c r="AD71" s="56"/>
      <c r="AE71" s="56"/>
      <c r="AF71" s="56"/>
      <c r="AG71" s="56"/>
      <c r="AH71" s="56"/>
      <c r="AI71" s="56"/>
      <c r="AJ71" s="56"/>
      <c r="AK71" s="56"/>
      <c r="AL71" s="56"/>
      <c r="AM71" s="56"/>
      <c r="AN71" s="56"/>
      <c r="AO71" s="56"/>
      <c r="AP71" s="56"/>
      <c r="AQ71" s="56"/>
      <c r="AR71" s="56"/>
    </row>
    <row r="72" spans="1:44" s="52" customFormat="1" ht="51">
      <c r="A72" s="36" t="s">
        <v>90</v>
      </c>
      <c r="B72" s="36" t="s">
        <v>211</v>
      </c>
      <c r="C72" s="36" t="s">
        <v>67</v>
      </c>
      <c r="D72" s="96" t="s">
        <v>224</v>
      </c>
      <c r="E72" s="36" t="s">
        <v>72</v>
      </c>
      <c r="F72" s="36" t="s">
        <v>331</v>
      </c>
      <c r="G72" s="36" t="s">
        <v>283</v>
      </c>
      <c r="H72" s="36" t="s">
        <v>212</v>
      </c>
      <c r="I72" s="36" t="s">
        <v>330</v>
      </c>
      <c r="J72" s="97" t="s">
        <v>29</v>
      </c>
      <c r="K72" s="97" t="s">
        <v>28</v>
      </c>
      <c r="L72" s="98">
        <v>450000</v>
      </c>
      <c r="M72" s="98">
        <f>L72*0.65</f>
        <v>292500</v>
      </c>
      <c r="N72" s="98">
        <f>L72*0.175</f>
        <v>78750</v>
      </c>
      <c r="O72" s="98">
        <f>L72*0.175</f>
        <v>78750</v>
      </c>
      <c r="P72" s="98">
        <v>0</v>
      </c>
      <c r="Q72" s="36" t="s">
        <v>138</v>
      </c>
      <c r="R72" s="99">
        <v>12</v>
      </c>
      <c r="S72" s="100">
        <v>0</v>
      </c>
      <c r="T72" s="101">
        <f>U72/R72</f>
        <v>1</v>
      </c>
      <c r="U72" s="99">
        <v>12</v>
      </c>
      <c r="V72" s="102">
        <f>S72+T72</f>
        <v>1</v>
      </c>
      <c r="W72" s="103">
        <v>22</v>
      </c>
      <c r="X72" s="103">
        <v>28</v>
      </c>
      <c r="Y72" s="36">
        <v>50</v>
      </c>
      <c r="Z72" s="36" t="s">
        <v>325</v>
      </c>
      <c r="AA72" s="48" t="s">
        <v>234</v>
      </c>
      <c r="AB72" s="48" t="s">
        <v>235</v>
      </c>
      <c r="AC72" s="48"/>
      <c r="AD72" s="48"/>
      <c r="AE72" s="48"/>
      <c r="AF72" s="48"/>
      <c r="AG72" s="48"/>
      <c r="AH72" s="48"/>
      <c r="AI72" s="48"/>
      <c r="AJ72" s="48"/>
      <c r="AK72" s="48"/>
      <c r="AL72" s="48"/>
      <c r="AM72" s="48"/>
      <c r="AN72" s="48"/>
      <c r="AO72" s="48"/>
      <c r="AP72" s="48"/>
      <c r="AQ72" s="48"/>
      <c r="AR72" s="48"/>
    </row>
    <row r="73" spans="1:44" s="69" customFormat="1" ht="204">
      <c r="A73" s="55" t="s">
        <v>90</v>
      </c>
      <c r="B73" s="55" t="s">
        <v>211</v>
      </c>
      <c r="C73" s="73" t="s">
        <v>78</v>
      </c>
      <c r="D73" s="161" t="s">
        <v>123</v>
      </c>
      <c r="E73" s="73" t="s">
        <v>124</v>
      </c>
      <c r="F73" s="55" t="s">
        <v>264</v>
      </c>
      <c r="G73" s="55" t="s">
        <v>283</v>
      </c>
      <c r="H73" s="55" t="s">
        <v>212</v>
      </c>
      <c r="I73" s="55" t="s">
        <v>236</v>
      </c>
      <c r="J73" s="71" t="s">
        <v>256</v>
      </c>
      <c r="K73" s="62" t="s">
        <v>28</v>
      </c>
      <c r="L73" s="63">
        <v>4500000</v>
      </c>
      <c r="M73" s="63">
        <f t="shared" si="17"/>
        <v>2925000</v>
      </c>
      <c r="N73" s="63">
        <f t="shared" si="18"/>
        <v>787500</v>
      </c>
      <c r="O73" s="63">
        <f t="shared" si="19"/>
        <v>787500</v>
      </c>
      <c r="P73" s="63">
        <v>0</v>
      </c>
      <c r="Q73" s="55" t="s">
        <v>190</v>
      </c>
      <c r="R73" s="64">
        <v>4.7</v>
      </c>
      <c r="S73" s="65">
        <v>0</v>
      </c>
      <c r="T73" s="66">
        <f t="shared" si="14"/>
        <v>0.3404255319148936</v>
      </c>
      <c r="U73" s="64">
        <v>1.6</v>
      </c>
      <c r="V73" s="67">
        <f t="shared" si="20"/>
        <v>0.3404255319148936</v>
      </c>
      <c r="W73" s="70">
        <v>238</v>
      </c>
      <c r="X73" s="70">
        <v>316</v>
      </c>
      <c r="Y73" s="55">
        <v>150</v>
      </c>
      <c r="Z73" s="55" t="s">
        <v>237</v>
      </c>
      <c r="AA73" s="56" t="s">
        <v>238</v>
      </c>
      <c r="AB73" s="56"/>
      <c r="AC73" s="56"/>
      <c r="AD73" s="56"/>
      <c r="AE73" s="56"/>
      <c r="AF73" s="56"/>
      <c r="AG73" s="56"/>
      <c r="AH73" s="56"/>
      <c r="AI73" s="56"/>
      <c r="AJ73" s="56"/>
      <c r="AK73" s="56"/>
      <c r="AL73" s="56"/>
      <c r="AM73" s="56"/>
      <c r="AN73" s="56"/>
      <c r="AO73" s="56"/>
      <c r="AP73" s="56"/>
      <c r="AQ73" s="56"/>
      <c r="AR73" s="56"/>
    </row>
    <row r="74" spans="1:28" s="47" customFormat="1" ht="178.5">
      <c r="A74" s="166" t="s">
        <v>90</v>
      </c>
      <c r="B74" s="166" t="s">
        <v>240</v>
      </c>
      <c r="C74" s="166" t="s">
        <v>78</v>
      </c>
      <c r="D74" s="167">
        <v>6</v>
      </c>
      <c r="E74" s="166" t="s">
        <v>79</v>
      </c>
      <c r="F74" s="166" t="s">
        <v>365</v>
      </c>
      <c r="G74" s="166" t="s">
        <v>272</v>
      </c>
      <c r="H74" s="166" t="s">
        <v>242</v>
      </c>
      <c r="I74" s="166" t="s">
        <v>362</v>
      </c>
      <c r="J74" s="168" t="s">
        <v>29</v>
      </c>
      <c r="K74" s="168" t="s">
        <v>28</v>
      </c>
      <c r="L74" s="169">
        <v>520000</v>
      </c>
      <c r="M74" s="170">
        <f>L74*0.65</f>
        <v>338000</v>
      </c>
      <c r="N74" s="170">
        <f>L74*0.175</f>
        <v>91000</v>
      </c>
      <c r="O74" s="170">
        <f>L74*0.175</f>
        <v>91000</v>
      </c>
      <c r="P74" s="170">
        <v>0</v>
      </c>
      <c r="Q74" s="166" t="s">
        <v>81</v>
      </c>
      <c r="R74" s="171">
        <v>1</v>
      </c>
      <c r="S74" s="172">
        <v>0</v>
      </c>
      <c r="T74" s="172">
        <f>U74/R74</f>
        <v>1</v>
      </c>
      <c r="U74" s="171">
        <f>R74</f>
        <v>1</v>
      </c>
      <c r="V74" s="172">
        <f>T74</f>
        <v>1</v>
      </c>
      <c r="W74" s="173" t="s">
        <v>363</v>
      </c>
      <c r="X74" s="173" t="s">
        <v>364</v>
      </c>
      <c r="Y74" s="174">
        <v>150</v>
      </c>
      <c r="Z74" s="104" t="s">
        <v>249</v>
      </c>
      <c r="AA74" s="47" t="s">
        <v>250</v>
      </c>
      <c r="AB74" s="47" t="s">
        <v>248</v>
      </c>
    </row>
    <row r="75" spans="1:26" s="26" customFormat="1" ht="12.75">
      <c r="A75" s="400" t="s">
        <v>376</v>
      </c>
      <c r="B75" s="401"/>
      <c r="C75" s="401"/>
      <c r="D75" s="401"/>
      <c r="E75" s="401"/>
      <c r="F75" s="401"/>
      <c r="G75" s="401"/>
      <c r="H75" s="401"/>
      <c r="I75" s="401"/>
      <c r="J75" s="401"/>
      <c r="K75" s="402"/>
      <c r="L75" s="74">
        <f>SUBTOTAL(9,L8:L74)</f>
        <v>121638990.52</v>
      </c>
      <c r="M75" s="74">
        <f>SUBTOTAL(9,M8:M74)</f>
        <v>79065343.84</v>
      </c>
      <c r="N75" s="74">
        <f>SUBTOTAL(9,N8:N74)</f>
        <v>21486823.35</v>
      </c>
      <c r="O75" s="74">
        <f>SUBTOTAL(9,O8:O74)</f>
        <v>21086823.33</v>
      </c>
      <c r="P75" s="74">
        <f>SUBTOTAL(9,P8:P74)</f>
        <v>0</v>
      </c>
      <c r="Q75" s="75"/>
      <c r="R75" s="75"/>
      <c r="S75" s="75"/>
      <c r="T75" s="75"/>
      <c r="U75" s="75"/>
      <c r="V75" s="75"/>
      <c r="W75" s="76" t="s">
        <v>382</v>
      </c>
      <c r="X75" s="76" t="s">
        <v>382</v>
      </c>
      <c r="Y75" s="75"/>
      <c r="Z75" s="77"/>
    </row>
    <row r="76" spans="1:26" s="47" customFormat="1" ht="12.75">
      <c r="A76" s="403"/>
      <c r="B76" s="403"/>
      <c r="C76" s="403"/>
      <c r="D76" s="403"/>
      <c r="E76" s="403"/>
      <c r="F76" s="403"/>
      <c r="G76" s="403"/>
      <c r="H76" s="403"/>
      <c r="I76" s="403"/>
      <c r="J76" s="403"/>
      <c r="K76" s="403"/>
      <c r="L76" s="403"/>
      <c r="M76" s="403"/>
      <c r="N76" s="403"/>
      <c r="O76" s="403"/>
      <c r="P76" s="403"/>
      <c r="Q76" s="404"/>
      <c r="R76" s="404"/>
      <c r="S76" s="404"/>
      <c r="T76" s="404"/>
      <c r="U76" s="404"/>
      <c r="V76" s="404"/>
      <c r="W76" s="404"/>
      <c r="X76" s="404"/>
      <c r="Y76" s="404"/>
      <c r="Z76" s="404"/>
    </row>
    <row r="77" spans="1:26" s="47" customFormat="1" ht="63.75">
      <c r="A77" s="78" t="s">
        <v>381</v>
      </c>
      <c r="B77" s="78" t="s">
        <v>385</v>
      </c>
      <c r="C77" s="79" t="s">
        <v>377</v>
      </c>
      <c r="D77" s="78" t="s">
        <v>378</v>
      </c>
      <c r="E77" s="78" t="s">
        <v>386</v>
      </c>
      <c r="F77" s="80" t="s">
        <v>387</v>
      </c>
      <c r="G77" s="78" t="s">
        <v>383</v>
      </c>
      <c r="H77" s="80" t="s">
        <v>384</v>
      </c>
      <c r="I77" s="80" t="s">
        <v>383</v>
      </c>
      <c r="J77" s="79" t="s">
        <v>29</v>
      </c>
      <c r="K77" s="79" t="s">
        <v>28</v>
      </c>
      <c r="L77" s="81">
        <f>ROUND((L75-L11-L39-L40-L41-L74)*3%,2)</f>
        <v>3524069.72</v>
      </c>
      <c r="M77" s="81">
        <f>L77</f>
        <v>3524069.72</v>
      </c>
      <c r="N77" s="81">
        <v>0</v>
      </c>
      <c r="O77" s="82">
        <v>0</v>
      </c>
      <c r="P77" s="82">
        <v>0</v>
      </c>
      <c r="Q77" s="81" t="s">
        <v>388</v>
      </c>
      <c r="R77" s="83">
        <f>67-5</f>
        <v>62</v>
      </c>
      <c r="S77" s="84">
        <v>0</v>
      </c>
      <c r="T77" s="84">
        <f>U77/R77</f>
        <v>1</v>
      </c>
      <c r="U77" s="83">
        <f>R77</f>
        <v>62</v>
      </c>
      <c r="V77" s="84">
        <f>S77+T77</f>
        <v>1</v>
      </c>
      <c r="W77" s="85"/>
      <c r="X77" s="85"/>
      <c r="Y77" s="86"/>
      <c r="Z77" s="78" t="s">
        <v>389</v>
      </c>
    </row>
    <row r="78" spans="1:27" s="47" customFormat="1" ht="12.75">
      <c r="A78" s="405"/>
      <c r="B78" s="405"/>
      <c r="C78" s="405"/>
      <c r="D78" s="405"/>
      <c r="E78" s="405"/>
      <c r="F78" s="405"/>
      <c r="G78" s="405"/>
      <c r="H78" s="405"/>
      <c r="I78" s="405"/>
      <c r="J78" s="405"/>
      <c r="K78" s="405"/>
      <c r="L78" s="405"/>
      <c r="M78" s="405"/>
      <c r="N78" s="405"/>
      <c r="O78" s="405"/>
      <c r="P78" s="405"/>
      <c r="Q78" s="405"/>
      <c r="R78" s="405"/>
      <c r="S78" s="405"/>
      <c r="T78" s="405"/>
      <c r="U78" s="405"/>
      <c r="V78" s="405"/>
      <c r="W78" s="405"/>
      <c r="X78" s="405"/>
      <c r="Y78" s="405"/>
      <c r="Z78" s="405"/>
      <c r="AA78" s="54"/>
    </row>
    <row r="79" spans="1:27" s="94" customFormat="1" ht="12.75">
      <c r="A79" s="400" t="s">
        <v>379</v>
      </c>
      <c r="B79" s="401"/>
      <c r="C79" s="401"/>
      <c r="D79" s="401"/>
      <c r="E79" s="401"/>
      <c r="F79" s="401"/>
      <c r="G79" s="401"/>
      <c r="H79" s="401"/>
      <c r="I79" s="401"/>
      <c r="J79" s="401"/>
      <c r="K79" s="402"/>
      <c r="L79" s="87">
        <f>L75+L77</f>
        <v>125163060.24</v>
      </c>
      <c r="M79" s="87">
        <f>M75+M77</f>
        <v>82589413.56</v>
      </c>
      <c r="N79" s="87">
        <f>N75+N77</f>
        <v>21486823.35</v>
      </c>
      <c r="O79" s="87">
        <f>O75+O77</f>
        <v>21086823.33</v>
      </c>
      <c r="P79" s="87">
        <f>P75+P77</f>
        <v>0</v>
      </c>
      <c r="Q79" s="88"/>
      <c r="R79" s="89"/>
      <c r="S79" s="406" t="s">
        <v>380</v>
      </c>
      <c r="T79" s="401"/>
      <c r="U79" s="401"/>
      <c r="V79" s="90">
        <f>R77</f>
        <v>62</v>
      </c>
      <c r="W79" s="76"/>
      <c r="X79" s="76"/>
      <c r="Y79" s="91"/>
      <c r="Z79" s="92"/>
      <c r="AA79" s="93"/>
    </row>
    <row r="80" spans="1:26" s="26" customFormat="1" ht="12.75">
      <c r="A80" s="25"/>
      <c r="B80" s="25"/>
      <c r="C80" s="25"/>
      <c r="D80" s="105"/>
      <c r="E80" s="25"/>
      <c r="F80" s="25"/>
      <c r="G80" s="25"/>
      <c r="H80" s="25"/>
      <c r="I80" s="25"/>
      <c r="J80" s="106"/>
      <c r="K80" s="106"/>
      <c r="L80" s="107"/>
      <c r="M80" s="108"/>
      <c r="N80" s="108"/>
      <c r="O80" s="108"/>
      <c r="P80" s="108"/>
      <c r="Q80" s="25"/>
      <c r="R80" s="109"/>
      <c r="S80" s="110"/>
      <c r="T80" s="110"/>
      <c r="U80" s="109"/>
      <c r="V80" s="110"/>
      <c r="W80" s="111"/>
      <c r="X80" s="111"/>
      <c r="Y80" s="112"/>
      <c r="Z80" s="113"/>
    </row>
    <row r="82" spans="1:28" s="26" customFormat="1" ht="191.25">
      <c r="A82" s="38" t="s">
        <v>239</v>
      </c>
      <c r="B82" s="38" t="s">
        <v>240</v>
      </c>
      <c r="C82" s="38" t="s">
        <v>78</v>
      </c>
      <c r="D82" s="44" t="s">
        <v>123</v>
      </c>
      <c r="E82" s="34" t="s">
        <v>124</v>
      </c>
      <c r="F82" s="38" t="s">
        <v>268</v>
      </c>
      <c r="G82" s="38" t="s">
        <v>241</v>
      </c>
      <c r="H82" s="38" t="s">
        <v>242</v>
      </c>
      <c r="I82" s="38" t="s">
        <v>243</v>
      </c>
      <c r="J82" s="39" t="s">
        <v>117</v>
      </c>
      <c r="K82" s="39" t="s">
        <v>28</v>
      </c>
      <c r="L82" s="40">
        <v>16500000</v>
      </c>
      <c r="M82" s="40">
        <f>L82*0.65</f>
        <v>10725000</v>
      </c>
      <c r="N82" s="40">
        <f>L82*0.175</f>
        <v>2887500</v>
      </c>
      <c r="O82" s="40">
        <f>L82*0.175</f>
        <v>2887500</v>
      </c>
      <c r="P82" s="40">
        <v>0</v>
      </c>
      <c r="Q82" s="34" t="s">
        <v>86</v>
      </c>
      <c r="R82" s="46">
        <v>18.5</v>
      </c>
      <c r="S82" s="41">
        <v>0</v>
      </c>
      <c r="T82" s="41">
        <f>U82/R82</f>
        <v>0.2702702702702703</v>
      </c>
      <c r="U82" s="46">
        <v>5</v>
      </c>
      <c r="V82" s="41">
        <f>T82</f>
        <v>0.2702702702702703</v>
      </c>
      <c r="W82" s="42" t="s">
        <v>244</v>
      </c>
      <c r="X82" s="42" t="s">
        <v>245</v>
      </c>
      <c r="Y82" s="43">
        <v>240</v>
      </c>
      <c r="Z82" s="45" t="s">
        <v>246</v>
      </c>
      <c r="AA82" s="26" t="s">
        <v>247</v>
      </c>
      <c r="AB82" s="26" t="s">
        <v>248</v>
      </c>
    </row>
    <row r="84" spans="2:6" ht="23.25" customHeight="1">
      <c r="B84" s="5" t="str">
        <f>LOWER(B77)</f>
        <v>cdi (comisión nacional para el desarrollo de los pueblos indígenas)</v>
      </c>
      <c r="E84" s="5" t="str">
        <f>LOWER(E77)</f>
        <v>supervisión de obra</v>
      </c>
      <c r="F84" s="5" t="str">
        <f>LOWER(F77)</f>
        <v>servicios de supervisión gerencial</v>
      </c>
    </row>
  </sheetData>
  <sheetProtection/>
  <autoFilter ref="A7:AR74"/>
  <mergeCells count="20">
    <mergeCell ref="A75:K75"/>
    <mergeCell ref="A76:Z76"/>
    <mergeCell ref="A78:Z78"/>
    <mergeCell ref="A79:K79"/>
    <mergeCell ref="S79:U79"/>
    <mergeCell ref="Z5:Z7"/>
    <mergeCell ref="F6:F7"/>
    <mergeCell ref="G6:I6"/>
    <mergeCell ref="Q6:R6"/>
    <mergeCell ref="T6:U6"/>
    <mergeCell ref="B1:Y1"/>
    <mergeCell ref="B2:Y2"/>
    <mergeCell ref="A5:A7"/>
    <mergeCell ref="B5:B6"/>
    <mergeCell ref="C5:E6"/>
    <mergeCell ref="F5:I5"/>
    <mergeCell ref="L5:P6"/>
    <mergeCell ref="Q5:V5"/>
    <mergeCell ref="W5:X6"/>
    <mergeCell ref="Y5:Y7"/>
  </mergeCells>
  <printOptions horizontalCentered="1"/>
  <pageMargins left="0.1968503937007874" right="0.1968503937007874" top="0.1968503937007874" bottom="0.1968503937007874" header="0.31496062992125984" footer="0.31496062992125984"/>
  <pageSetup horizontalDpi="600" verticalDpi="600" orientation="landscape" paperSize="5" scale="54" r:id="rId3"/>
  <legacyDrawing r:id="rId2"/>
</worksheet>
</file>

<file path=xl/worksheets/sheet3.xml><?xml version="1.0" encoding="utf-8"?>
<worksheet xmlns="http://schemas.openxmlformats.org/spreadsheetml/2006/main" xmlns:r="http://schemas.openxmlformats.org/officeDocument/2006/relationships">
  <dimension ref="A1:GY107"/>
  <sheetViews>
    <sheetView view="pageBreakPreview" zoomScale="60" zoomScalePageLayoutView="0" workbookViewId="0" topLeftCell="C43">
      <selection activeCell="L75" sqref="L75:P75"/>
    </sheetView>
  </sheetViews>
  <sheetFormatPr defaultColWidth="11.421875" defaultRowHeight="23.25" customHeight="1"/>
  <cols>
    <col min="1" max="1" width="22.421875" style="3" customWidth="1"/>
    <col min="2" max="2" width="12.140625" style="5" customWidth="1"/>
    <col min="3" max="3" width="3.7109375" style="5" bestFit="1" customWidth="1"/>
    <col min="4" max="4" width="4.8515625" style="5" customWidth="1"/>
    <col min="5" max="5" width="13.00390625" style="5" bestFit="1" customWidth="1"/>
    <col min="6" max="6" width="35.7109375" style="5" customWidth="1"/>
    <col min="7" max="7" width="11.140625" style="5" customWidth="1"/>
    <col min="8" max="8" width="11.57421875" style="5" customWidth="1"/>
    <col min="9" max="9" width="26.00390625" style="5" customWidth="1"/>
    <col min="10" max="11" width="3.7109375" style="4" customWidth="1"/>
    <col min="12" max="12" width="18.28125" style="33" bestFit="1" customWidth="1"/>
    <col min="13" max="13" width="17.7109375" style="4" bestFit="1" customWidth="1"/>
    <col min="14" max="14" width="19.8515625" style="4" bestFit="1" customWidth="1"/>
    <col min="15" max="15" width="17.57421875" style="4" bestFit="1" customWidth="1"/>
    <col min="16" max="16" width="20.8515625" style="4" bestFit="1" customWidth="1"/>
    <col min="17" max="17" width="10.7109375" style="4" customWidth="1"/>
    <col min="18" max="18" width="9.421875" style="4" customWidth="1"/>
    <col min="19" max="19" width="10.7109375" style="4" customWidth="1"/>
    <col min="20" max="20" width="9.00390625" style="4" customWidth="1"/>
    <col min="21" max="21" width="9.57421875" style="4" customWidth="1"/>
    <col min="22" max="22" width="10.7109375" style="4" customWidth="1"/>
    <col min="23" max="23" width="8.8515625" style="4" customWidth="1"/>
    <col min="24" max="24" width="8.7109375" style="4" customWidth="1"/>
    <col min="25" max="25" width="10.421875" style="4" customWidth="1"/>
    <col min="26" max="26" width="38.00390625" style="4" customWidth="1"/>
    <col min="27" max="27" width="62.7109375" style="4" customWidth="1"/>
    <col min="28" max="28" width="43.421875" style="177" customWidth="1"/>
    <col min="29" max="46" width="11.421875" style="51" customWidth="1"/>
    <col min="47" max="16384" width="11.421875" style="4" customWidth="1"/>
  </cols>
  <sheetData>
    <row r="1" spans="1:46" s="2" customFormat="1" ht="52.5" customHeight="1">
      <c r="A1" s="1"/>
      <c r="B1" s="382" t="s">
        <v>391</v>
      </c>
      <c r="C1" s="382"/>
      <c r="D1" s="382"/>
      <c r="E1" s="382"/>
      <c r="F1" s="382"/>
      <c r="G1" s="382"/>
      <c r="H1" s="382"/>
      <c r="I1" s="382"/>
      <c r="J1" s="382"/>
      <c r="K1" s="382"/>
      <c r="L1" s="382"/>
      <c r="M1" s="382"/>
      <c r="N1" s="382"/>
      <c r="O1" s="382"/>
      <c r="P1" s="382"/>
      <c r="Q1" s="382"/>
      <c r="R1" s="382"/>
      <c r="S1" s="382"/>
      <c r="T1" s="382"/>
      <c r="U1" s="382"/>
      <c r="V1" s="382"/>
      <c r="W1" s="382"/>
      <c r="X1" s="382"/>
      <c r="Y1" s="382"/>
      <c r="AB1" s="175"/>
      <c r="AC1" s="49"/>
      <c r="AD1" s="49"/>
      <c r="AE1" s="49"/>
      <c r="AF1" s="49"/>
      <c r="AG1" s="49"/>
      <c r="AH1" s="49"/>
      <c r="AI1" s="49"/>
      <c r="AJ1" s="49"/>
      <c r="AK1" s="49"/>
      <c r="AL1" s="49"/>
      <c r="AM1" s="49"/>
      <c r="AN1" s="49"/>
      <c r="AO1" s="49"/>
      <c r="AP1" s="49"/>
      <c r="AQ1" s="49"/>
      <c r="AR1" s="49"/>
      <c r="AS1" s="49"/>
      <c r="AT1" s="49"/>
    </row>
    <row r="2" spans="1:46" s="24" customFormat="1" ht="18">
      <c r="A2" s="23"/>
      <c r="B2" s="383" t="s">
        <v>392</v>
      </c>
      <c r="C2" s="383"/>
      <c r="D2" s="383"/>
      <c r="E2" s="383"/>
      <c r="F2" s="383"/>
      <c r="G2" s="383"/>
      <c r="H2" s="383"/>
      <c r="I2" s="383"/>
      <c r="J2" s="383"/>
      <c r="K2" s="383"/>
      <c r="L2" s="383"/>
      <c r="M2" s="383"/>
      <c r="N2" s="383"/>
      <c r="O2" s="383"/>
      <c r="P2" s="383"/>
      <c r="Q2" s="383"/>
      <c r="R2" s="383"/>
      <c r="S2" s="383"/>
      <c r="T2" s="383"/>
      <c r="U2" s="383"/>
      <c r="V2" s="383"/>
      <c r="W2" s="383"/>
      <c r="X2" s="383"/>
      <c r="Y2" s="383"/>
      <c r="AB2" s="176"/>
      <c r="AC2" s="50"/>
      <c r="AD2" s="50"/>
      <c r="AE2" s="50"/>
      <c r="AF2" s="50"/>
      <c r="AG2" s="50"/>
      <c r="AH2" s="50"/>
      <c r="AI2" s="50"/>
      <c r="AJ2" s="50"/>
      <c r="AK2" s="50"/>
      <c r="AL2" s="50"/>
      <c r="AM2" s="50"/>
      <c r="AN2" s="50"/>
      <c r="AO2" s="50"/>
      <c r="AP2" s="50"/>
      <c r="AQ2" s="50"/>
      <c r="AR2" s="50"/>
      <c r="AS2" s="50"/>
      <c r="AT2" s="50"/>
    </row>
    <row r="3" spans="13:21" ht="11.25">
      <c r="M3" s="7"/>
      <c r="N3" s="7"/>
      <c r="O3" s="7"/>
      <c r="P3" s="7"/>
      <c r="U3" s="6"/>
    </row>
    <row r="4" spans="14:21" ht="11.25">
      <c r="N4" s="7"/>
      <c r="U4" s="6"/>
    </row>
    <row r="5" spans="1:28" s="29" customFormat="1" ht="11.25">
      <c r="A5" s="384" t="s">
        <v>68</v>
      </c>
      <c r="B5" s="384" t="s">
        <v>12</v>
      </c>
      <c r="C5" s="387" t="s">
        <v>14</v>
      </c>
      <c r="D5" s="388"/>
      <c r="E5" s="389"/>
      <c r="F5" s="393" t="s">
        <v>0</v>
      </c>
      <c r="G5" s="394"/>
      <c r="H5" s="394"/>
      <c r="I5" s="395"/>
      <c r="J5" s="27"/>
      <c r="K5" s="27"/>
      <c r="L5" s="396" t="s">
        <v>69</v>
      </c>
      <c r="M5" s="397"/>
      <c r="N5" s="397"/>
      <c r="O5" s="397"/>
      <c r="P5" s="397"/>
      <c r="Q5" s="393" t="s">
        <v>4</v>
      </c>
      <c r="R5" s="394"/>
      <c r="S5" s="394"/>
      <c r="T5" s="394"/>
      <c r="U5" s="394"/>
      <c r="V5" s="395"/>
      <c r="W5" s="396" t="s">
        <v>23</v>
      </c>
      <c r="X5" s="397"/>
      <c r="Y5" s="384" t="s">
        <v>30</v>
      </c>
      <c r="Z5" s="384" t="s">
        <v>27</v>
      </c>
      <c r="AA5" s="414"/>
      <c r="AB5" s="37"/>
    </row>
    <row r="6" spans="1:28" s="29" customFormat="1" ht="22.5">
      <c r="A6" s="385"/>
      <c r="B6" s="385"/>
      <c r="C6" s="390"/>
      <c r="D6" s="391"/>
      <c r="E6" s="392"/>
      <c r="F6" s="384" t="s">
        <v>24</v>
      </c>
      <c r="G6" s="407" t="s">
        <v>5</v>
      </c>
      <c r="H6" s="408"/>
      <c r="I6" s="409"/>
      <c r="J6" s="30"/>
      <c r="K6" s="30"/>
      <c r="L6" s="398"/>
      <c r="M6" s="399"/>
      <c r="N6" s="399"/>
      <c r="O6" s="399"/>
      <c r="P6" s="399"/>
      <c r="Q6" s="386" t="s">
        <v>18</v>
      </c>
      <c r="R6" s="386"/>
      <c r="S6" s="178" t="s">
        <v>21</v>
      </c>
      <c r="T6" s="386" t="s">
        <v>64</v>
      </c>
      <c r="U6" s="386"/>
      <c r="V6" s="31" t="s">
        <v>21</v>
      </c>
      <c r="W6" s="398" t="s">
        <v>23</v>
      </c>
      <c r="X6" s="399"/>
      <c r="Y6" s="385"/>
      <c r="Z6" s="385"/>
      <c r="AA6" s="414"/>
      <c r="AB6" s="37"/>
    </row>
    <row r="7" spans="1:46" s="32" customFormat="1" ht="22.5">
      <c r="A7" s="413"/>
      <c r="B7" s="179" t="s">
        <v>13</v>
      </c>
      <c r="C7" s="27" t="s">
        <v>15</v>
      </c>
      <c r="D7" s="28"/>
      <c r="E7" s="27" t="s">
        <v>6</v>
      </c>
      <c r="F7" s="413"/>
      <c r="G7" s="27" t="s">
        <v>1</v>
      </c>
      <c r="H7" s="27" t="s">
        <v>2</v>
      </c>
      <c r="I7" s="27" t="s">
        <v>3</v>
      </c>
      <c r="J7" s="30" t="s">
        <v>17</v>
      </c>
      <c r="K7" s="30" t="s">
        <v>16</v>
      </c>
      <c r="L7" s="27" t="s">
        <v>7</v>
      </c>
      <c r="M7" s="27" t="s">
        <v>8</v>
      </c>
      <c r="N7" s="27" t="s">
        <v>9</v>
      </c>
      <c r="O7" s="27" t="s">
        <v>10</v>
      </c>
      <c r="P7" s="27" t="s">
        <v>11</v>
      </c>
      <c r="Q7" s="27" t="s">
        <v>19</v>
      </c>
      <c r="R7" s="27" t="s">
        <v>20</v>
      </c>
      <c r="S7" s="30" t="s">
        <v>34</v>
      </c>
      <c r="T7" s="27" t="s">
        <v>22</v>
      </c>
      <c r="U7" s="27" t="s">
        <v>20</v>
      </c>
      <c r="V7" s="30" t="s">
        <v>65</v>
      </c>
      <c r="W7" s="27" t="s">
        <v>26</v>
      </c>
      <c r="X7" s="27" t="s">
        <v>25</v>
      </c>
      <c r="Y7" s="413"/>
      <c r="Z7" s="413"/>
      <c r="AA7" s="414"/>
      <c r="AB7" s="37"/>
      <c r="AC7" s="37"/>
      <c r="AD7" s="37"/>
      <c r="AE7" s="37"/>
      <c r="AF7" s="37"/>
      <c r="AG7" s="37"/>
      <c r="AH7" s="37"/>
      <c r="AI7" s="37"/>
      <c r="AJ7" s="37"/>
      <c r="AK7" s="37"/>
      <c r="AL7" s="37"/>
      <c r="AM7" s="37"/>
      <c r="AN7" s="37"/>
      <c r="AO7" s="37"/>
      <c r="AP7" s="37"/>
      <c r="AQ7" s="37"/>
      <c r="AR7" s="37"/>
      <c r="AS7" s="37"/>
      <c r="AT7" s="37"/>
    </row>
    <row r="8" spans="1:47" s="188" customFormat="1" ht="89.25">
      <c r="A8" s="45" t="s">
        <v>393</v>
      </c>
      <c r="B8" s="45" t="s">
        <v>192</v>
      </c>
      <c r="C8" s="45" t="s">
        <v>66</v>
      </c>
      <c r="D8" s="180" t="s">
        <v>262</v>
      </c>
      <c r="E8" s="45" t="s">
        <v>97</v>
      </c>
      <c r="F8" s="45" t="s">
        <v>394</v>
      </c>
      <c r="G8" s="45" t="s">
        <v>193</v>
      </c>
      <c r="H8" s="45" t="s">
        <v>194</v>
      </c>
      <c r="I8" s="45" t="s">
        <v>395</v>
      </c>
      <c r="J8" s="181" t="s">
        <v>29</v>
      </c>
      <c r="K8" s="181" t="s">
        <v>28</v>
      </c>
      <c r="L8" s="182">
        <v>2750000</v>
      </c>
      <c r="M8" s="182">
        <v>1787500</v>
      </c>
      <c r="N8" s="182">
        <v>481249.99999999994</v>
      </c>
      <c r="O8" s="182">
        <v>481249.99999999994</v>
      </c>
      <c r="P8" s="182">
        <v>0</v>
      </c>
      <c r="Q8" s="45" t="s">
        <v>77</v>
      </c>
      <c r="R8" s="183">
        <v>1</v>
      </c>
      <c r="S8" s="184">
        <v>0</v>
      </c>
      <c r="T8" s="184">
        <v>1</v>
      </c>
      <c r="U8" s="183">
        <v>1</v>
      </c>
      <c r="V8" s="184">
        <v>1</v>
      </c>
      <c r="W8" s="185">
        <v>57</v>
      </c>
      <c r="X8" s="185">
        <v>87</v>
      </c>
      <c r="Y8" s="186">
        <v>105</v>
      </c>
      <c r="Z8" s="45" t="s">
        <v>396</v>
      </c>
      <c r="AA8" s="25" t="s">
        <v>397</v>
      </c>
      <c r="AB8" s="25" t="s">
        <v>398</v>
      </c>
      <c r="AC8" s="26"/>
      <c r="AD8" s="26"/>
      <c r="AE8" s="26"/>
      <c r="AF8" s="26"/>
      <c r="AG8" s="26"/>
      <c r="AH8" s="26"/>
      <c r="AI8" s="26"/>
      <c r="AJ8" s="26"/>
      <c r="AK8" s="26"/>
      <c r="AL8" s="26"/>
      <c r="AM8" s="26"/>
      <c r="AN8" s="26"/>
      <c r="AO8" s="26"/>
      <c r="AP8" s="26"/>
      <c r="AQ8" s="26"/>
      <c r="AR8" s="26"/>
      <c r="AS8" s="26"/>
      <c r="AT8" s="26"/>
      <c r="AU8" s="187"/>
    </row>
    <row r="9" spans="1:47" s="188" customFormat="1" ht="89.25">
      <c r="A9" s="34" t="s">
        <v>399</v>
      </c>
      <c r="B9" s="34" t="s">
        <v>192</v>
      </c>
      <c r="C9" s="34" t="s">
        <v>66</v>
      </c>
      <c r="D9" s="189">
        <v>2</v>
      </c>
      <c r="E9" s="34" t="s">
        <v>72</v>
      </c>
      <c r="F9" s="34" t="s">
        <v>400</v>
      </c>
      <c r="G9" s="34" t="s">
        <v>193</v>
      </c>
      <c r="H9" s="34" t="s">
        <v>194</v>
      </c>
      <c r="I9" s="34" t="s">
        <v>401</v>
      </c>
      <c r="J9" s="190" t="s">
        <v>29</v>
      </c>
      <c r="K9" s="190" t="s">
        <v>28</v>
      </c>
      <c r="L9" s="191">
        <v>1900000</v>
      </c>
      <c r="M9" s="192">
        <f aca="true" t="shared" si="0" ref="M9:M31">L9*0.65</f>
        <v>1235000</v>
      </c>
      <c r="N9" s="192">
        <f aca="true" t="shared" si="1" ref="N9:N31">L9*0.175</f>
        <v>332500</v>
      </c>
      <c r="O9" s="192">
        <f aca="true" t="shared" si="2" ref="O9:O31">L9*0.175</f>
        <v>332500</v>
      </c>
      <c r="P9" s="192">
        <v>0</v>
      </c>
      <c r="Q9" s="34" t="s">
        <v>77</v>
      </c>
      <c r="R9" s="193">
        <v>1</v>
      </c>
      <c r="S9" s="194">
        <v>0</v>
      </c>
      <c r="T9" s="194">
        <f aca="true" t="shared" si="3" ref="T9:T30">U9/R9</f>
        <v>1</v>
      </c>
      <c r="U9" s="193">
        <f>R9</f>
        <v>1</v>
      </c>
      <c r="V9" s="194">
        <f aca="true" t="shared" si="4" ref="V9:V18">T9</f>
        <v>1</v>
      </c>
      <c r="W9" s="195">
        <v>160</v>
      </c>
      <c r="X9" s="195">
        <v>175</v>
      </c>
      <c r="Y9" s="196">
        <v>100</v>
      </c>
      <c r="Z9" s="34" t="s">
        <v>105</v>
      </c>
      <c r="AA9" s="25" t="s">
        <v>402</v>
      </c>
      <c r="AB9" s="25" t="s">
        <v>398</v>
      </c>
      <c r="AC9" s="26"/>
      <c r="AD9" s="26"/>
      <c r="AE9" s="26"/>
      <c r="AF9" s="26"/>
      <c r="AG9" s="26"/>
      <c r="AH9" s="26"/>
      <c r="AI9" s="26"/>
      <c r="AJ9" s="26"/>
      <c r="AK9" s="26"/>
      <c r="AL9" s="26"/>
      <c r="AM9" s="26"/>
      <c r="AN9" s="26"/>
      <c r="AO9" s="26"/>
      <c r="AP9" s="26"/>
      <c r="AQ9" s="26"/>
      <c r="AR9" s="26"/>
      <c r="AS9" s="26"/>
      <c r="AT9" s="26"/>
      <c r="AU9" s="187"/>
    </row>
    <row r="10" spans="1:47" s="188" customFormat="1" ht="89.25">
      <c r="A10" s="34" t="s">
        <v>403</v>
      </c>
      <c r="B10" s="34" t="s">
        <v>192</v>
      </c>
      <c r="C10" s="34" t="s">
        <v>66</v>
      </c>
      <c r="D10" s="189">
        <v>2</v>
      </c>
      <c r="E10" s="34" t="s">
        <v>72</v>
      </c>
      <c r="F10" s="34" t="s">
        <v>404</v>
      </c>
      <c r="G10" s="34" t="s">
        <v>193</v>
      </c>
      <c r="H10" s="34" t="s">
        <v>194</v>
      </c>
      <c r="I10" s="34" t="s">
        <v>405</v>
      </c>
      <c r="J10" s="190" t="s">
        <v>29</v>
      </c>
      <c r="K10" s="190" t="s">
        <v>28</v>
      </c>
      <c r="L10" s="192">
        <v>900000</v>
      </c>
      <c r="M10" s="192">
        <f t="shared" si="0"/>
        <v>585000</v>
      </c>
      <c r="N10" s="192">
        <f t="shared" si="1"/>
        <v>157500</v>
      </c>
      <c r="O10" s="192">
        <f t="shared" si="2"/>
        <v>157500</v>
      </c>
      <c r="P10" s="192">
        <v>0</v>
      </c>
      <c r="Q10" s="34" t="s">
        <v>77</v>
      </c>
      <c r="R10" s="193">
        <v>1</v>
      </c>
      <c r="S10" s="194">
        <v>0</v>
      </c>
      <c r="T10" s="194">
        <f>U10/R10</f>
        <v>1</v>
      </c>
      <c r="U10" s="193">
        <f>R10</f>
        <v>1</v>
      </c>
      <c r="V10" s="194">
        <f t="shared" si="4"/>
        <v>1</v>
      </c>
      <c r="W10" s="195">
        <v>49</v>
      </c>
      <c r="X10" s="195">
        <v>47</v>
      </c>
      <c r="Y10" s="196">
        <v>90</v>
      </c>
      <c r="Z10" s="34" t="s">
        <v>105</v>
      </c>
      <c r="AA10" s="25" t="s">
        <v>406</v>
      </c>
      <c r="AB10" s="25" t="s">
        <v>407</v>
      </c>
      <c r="AC10" s="26"/>
      <c r="AD10" s="26"/>
      <c r="AE10" s="26"/>
      <c r="AF10" s="26"/>
      <c r="AG10" s="26"/>
      <c r="AH10" s="26"/>
      <c r="AI10" s="26"/>
      <c r="AJ10" s="26"/>
      <c r="AK10" s="26"/>
      <c r="AL10" s="26"/>
      <c r="AM10" s="26"/>
      <c r="AN10" s="26"/>
      <c r="AO10" s="26"/>
      <c r="AP10" s="26"/>
      <c r="AQ10" s="26"/>
      <c r="AR10" s="26"/>
      <c r="AS10" s="26"/>
      <c r="AT10" s="26"/>
      <c r="AU10" s="187"/>
    </row>
    <row r="11" spans="1:47" s="188" customFormat="1" ht="89.25">
      <c r="A11" s="34" t="s">
        <v>408</v>
      </c>
      <c r="B11" s="34" t="s">
        <v>192</v>
      </c>
      <c r="C11" s="34" t="s">
        <v>66</v>
      </c>
      <c r="D11" s="189">
        <v>2</v>
      </c>
      <c r="E11" s="34" t="s">
        <v>72</v>
      </c>
      <c r="F11" s="34" t="s">
        <v>409</v>
      </c>
      <c r="G11" s="34" t="s">
        <v>193</v>
      </c>
      <c r="H11" s="34" t="s">
        <v>194</v>
      </c>
      <c r="I11" s="34" t="s">
        <v>410</v>
      </c>
      <c r="J11" s="190" t="s">
        <v>29</v>
      </c>
      <c r="K11" s="190" t="s">
        <v>28</v>
      </c>
      <c r="L11" s="191">
        <v>165000</v>
      </c>
      <c r="M11" s="192">
        <f>L11*0.65</f>
        <v>107250</v>
      </c>
      <c r="N11" s="192">
        <f>L11*0.175</f>
        <v>28874.999999999996</v>
      </c>
      <c r="O11" s="192">
        <f>L11*0.175</f>
        <v>28874.999999999996</v>
      </c>
      <c r="P11" s="192">
        <v>0</v>
      </c>
      <c r="Q11" s="34" t="s">
        <v>77</v>
      </c>
      <c r="R11" s="193">
        <v>1</v>
      </c>
      <c r="S11" s="194">
        <v>0</v>
      </c>
      <c r="T11" s="194">
        <f>U11/R11</f>
        <v>1</v>
      </c>
      <c r="U11" s="193">
        <f>R11</f>
        <v>1</v>
      </c>
      <c r="V11" s="194">
        <v>1</v>
      </c>
      <c r="W11" s="195">
        <v>42</v>
      </c>
      <c r="X11" s="195">
        <v>48</v>
      </c>
      <c r="Y11" s="196">
        <v>60</v>
      </c>
      <c r="Z11" s="34" t="s">
        <v>105</v>
      </c>
      <c r="AA11" s="25" t="s">
        <v>406</v>
      </c>
      <c r="AB11" s="25" t="s">
        <v>398</v>
      </c>
      <c r="AC11" s="26"/>
      <c r="AD11" s="26"/>
      <c r="AE11" s="26"/>
      <c r="AF11" s="26"/>
      <c r="AG11" s="26"/>
      <c r="AH11" s="26"/>
      <c r="AI11" s="26"/>
      <c r="AJ11" s="26"/>
      <c r="AK11" s="26"/>
      <c r="AL11" s="26"/>
      <c r="AM11" s="26"/>
      <c r="AN11" s="26"/>
      <c r="AO11" s="26"/>
      <c r="AP11" s="26"/>
      <c r="AQ11" s="26"/>
      <c r="AR11" s="26"/>
      <c r="AS11" s="26"/>
      <c r="AT11" s="26"/>
      <c r="AU11" s="187"/>
    </row>
    <row r="12" spans="1:47" s="188" customFormat="1" ht="127.5">
      <c r="A12" s="34" t="s">
        <v>411</v>
      </c>
      <c r="B12" s="34" t="s">
        <v>192</v>
      </c>
      <c r="C12" s="34" t="s">
        <v>67</v>
      </c>
      <c r="D12" s="189" t="s">
        <v>71</v>
      </c>
      <c r="E12" s="34" t="s">
        <v>72</v>
      </c>
      <c r="F12" s="34" t="s">
        <v>412</v>
      </c>
      <c r="G12" s="34" t="s">
        <v>193</v>
      </c>
      <c r="H12" s="34" t="s">
        <v>194</v>
      </c>
      <c r="I12" s="34" t="s">
        <v>413</v>
      </c>
      <c r="J12" s="190" t="s">
        <v>29</v>
      </c>
      <c r="K12" s="190" t="s">
        <v>28</v>
      </c>
      <c r="L12" s="191">
        <f>227870+236640+263270+382380+249000+387950+308320+293820+177350</f>
        <v>2526600</v>
      </c>
      <c r="M12" s="192">
        <f>L12*0.65</f>
        <v>1642290</v>
      </c>
      <c r="N12" s="192">
        <f>L12*0.175</f>
        <v>442155</v>
      </c>
      <c r="O12" s="192">
        <f>L12*0.175</f>
        <v>442155</v>
      </c>
      <c r="P12" s="192">
        <v>0</v>
      </c>
      <c r="Q12" s="34" t="s">
        <v>199</v>
      </c>
      <c r="R12" s="193">
        <f>6+6+7+11+8+10+7+9+5</f>
        <v>69</v>
      </c>
      <c r="S12" s="194">
        <v>0</v>
      </c>
      <c r="T12" s="194">
        <f t="shared" si="3"/>
        <v>1</v>
      </c>
      <c r="U12" s="193">
        <f aca="true" t="shared" si="5" ref="U12:U18">R12</f>
        <v>69</v>
      </c>
      <c r="V12" s="194">
        <f t="shared" si="4"/>
        <v>1</v>
      </c>
      <c r="W12" s="195">
        <f>19+17+21+33+15+18+23+5+11</f>
        <v>162</v>
      </c>
      <c r="X12" s="195">
        <f>23+19+21+37+16+19+25+8+14</f>
        <v>182</v>
      </c>
      <c r="Y12" s="196">
        <v>70</v>
      </c>
      <c r="Z12" s="197" t="s">
        <v>200</v>
      </c>
      <c r="AA12" s="198" t="s">
        <v>414</v>
      </c>
      <c r="AB12" s="25" t="s">
        <v>415</v>
      </c>
      <c r="AC12" s="26" t="str">
        <f>CONCATENATE(X12,"+")</f>
        <v>182+</v>
      </c>
      <c r="AD12" s="199">
        <f>6+6+7+11+8+10+7+9+5</f>
        <v>69</v>
      </c>
      <c r="AE12" s="26"/>
      <c r="AF12" s="26"/>
      <c r="AG12" s="26"/>
      <c r="AH12" s="26"/>
      <c r="AI12" s="26"/>
      <c r="AJ12" s="26"/>
      <c r="AK12" s="26"/>
      <c r="AL12" s="26"/>
      <c r="AM12" s="26"/>
      <c r="AN12" s="26"/>
      <c r="AO12" s="26"/>
      <c r="AP12" s="26"/>
      <c r="AQ12" s="26"/>
      <c r="AR12" s="26"/>
      <c r="AS12" s="26"/>
      <c r="AT12" s="26"/>
      <c r="AU12" s="187"/>
    </row>
    <row r="13" spans="1:47" s="188" customFormat="1" ht="89.25">
      <c r="A13" s="34" t="s">
        <v>416</v>
      </c>
      <c r="B13" s="34" t="s">
        <v>192</v>
      </c>
      <c r="C13" s="34" t="s">
        <v>67</v>
      </c>
      <c r="D13" s="189" t="s">
        <v>71</v>
      </c>
      <c r="E13" s="34" t="s">
        <v>72</v>
      </c>
      <c r="F13" s="34" t="s">
        <v>417</v>
      </c>
      <c r="G13" s="34" t="s">
        <v>193</v>
      </c>
      <c r="H13" s="34" t="s">
        <v>194</v>
      </c>
      <c r="I13" s="34" t="s">
        <v>302</v>
      </c>
      <c r="J13" s="190" t="s">
        <v>29</v>
      </c>
      <c r="K13" s="190" t="s">
        <v>28</v>
      </c>
      <c r="L13" s="192">
        <f>737150+319660+208800</f>
        <v>1265610</v>
      </c>
      <c r="M13" s="192">
        <f t="shared" si="0"/>
        <v>822646.5</v>
      </c>
      <c r="N13" s="192">
        <f t="shared" si="1"/>
        <v>221481.75</v>
      </c>
      <c r="O13" s="192">
        <f t="shared" si="2"/>
        <v>221481.75</v>
      </c>
      <c r="P13" s="192">
        <v>0</v>
      </c>
      <c r="Q13" s="34" t="s">
        <v>199</v>
      </c>
      <c r="R13" s="193">
        <f>19+9+5</f>
        <v>33</v>
      </c>
      <c r="S13" s="194">
        <v>0</v>
      </c>
      <c r="T13" s="194">
        <f t="shared" si="3"/>
        <v>1</v>
      </c>
      <c r="U13" s="193">
        <f t="shared" si="5"/>
        <v>33</v>
      </c>
      <c r="V13" s="194">
        <f t="shared" si="4"/>
        <v>1</v>
      </c>
      <c r="W13" s="195">
        <f>52+17+6</f>
        <v>75</v>
      </c>
      <c r="X13" s="195">
        <f>58+19+7</f>
        <v>84</v>
      </c>
      <c r="Y13" s="196">
        <v>90</v>
      </c>
      <c r="Z13" s="197" t="s">
        <v>200</v>
      </c>
      <c r="AA13" s="198" t="s">
        <v>418</v>
      </c>
      <c r="AB13" s="25" t="s">
        <v>419</v>
      </c>
      <c r="AC13" s="26"/>
      <c r="AD13" s="26"/>
      <c r="AE13" s="26"/>
      <c r="AF13" s="26"/>
      <c r="AG13" s="26"/>
      <c r="AH13" s="26"/>
      <c r="AI13" s="26"/>
      <c r="AJ13" s="26"/>
      <c r="AK13" s="26"/>
      <c r="AL13" s="26"/>
      <c r="AM13" s="26"/>
      <c r="AN13" s="26"/>
      <c r="AO13" s="26"/>
      <c r="AP13" s="26"/>
      <c r="AQ13" s="26"/>
      <c r="AR13" s="26"/>
      <c r="AS13" s="26"/>
      <c r="AT13" s="26"/>
      <c r="AU13" s="187"/>
    </row>
    <row r="14" spans="1:47" s="188" customFormat="1" ht="89.25">
      <c r="A14" s="34" t="s">
        <v>420</v>
      </c>
      <c r="B14" s="34" t="s">
        <v>192</v>
      </c>
      <c r="C14" s="34" t="s">
        <v>67</v>
      </c>
      <c r="D14" s="189" t="s">
        <v>71</v>
      </c>
      <c r="E14" s="34" t="s">
        <v>72</v>
      </c>
      <c r="F14" s="34" t="s">
        <v>421</v>
      </c>
      <c r="G14" s="34" t="s">
        <v>193</v>
      </c>
      <c r="H14" s="34" t="s">
        <v>194</v>
      </c>
      <c r="I14" s="34" t="s">
        <v>422</v>
      </c>
      <c r="J14" s="190" t="s">
        <v>29</v>
      </c>
      <c r="K14" s="190" t="s">
        <v>28</v>
      </c>
      <c r="L14" s="192">
        <f>786200+1562800</f>
        <v>2349000</v>
      </c>
      <c r="M14" s="192">
        <f t="shared" si="0"/>
        <v>1526850</v>
      </c>
      <c r="N14" s="192">
        <f t="shared" si="1"/>
        <v>411075</v>
      </c>
      <c r="O14" s="192">
        <f t="shared" si="2"/>
        <v>411075</v>
      </c>
      <c r="P14" s="192">
        <v>0</v>
      </c>
      <c r="Q14" s="34" t="s">
        <v>199</v>
      </c>
      <c r="R14" s="193">
        <f>21+45</f>
        <v>66</v>
      </c>
      <c r="S14" s="194">
        <v>0</v>
      </c>
      <c r="T14" s="194">
        <f t="shared" si="3"/>
        <v>1</v>
      </c>
      <c r="U14" s="193">
        <f t="shared" si="5"/>
        <v>66</v>
      </c>
      <c r="V14" s="194">
        <f t="shared" si="4"/>
        <v>1</v>
      </c>
      <c r="W14" s="195">
        <f>53+87</f>
        <v>140</v>
      </c>
      <c r="X14" s="195">
        <f>55+88</f>
        <v>143</v>
      </c>
      <c r="Y14" s="196">
        <v>90</v>
      </c>
      <c r="Z14" s="197" t="s">
        <v>200</v>
      </c>
      <c r="AA14" s="198" t="s">
        <v>418</v>
      </c>
      <c r="AB14" s="25" t="s">
        <v>423</v>
      </c>
      <c r="AC14" s="26"/>
      <c r="AD14" s="26"/>
      <c r="AE14" s="26"/>
      <c r="AF14" s="26"/>
      <c r="AG14" s="26"/>
      <c r="AH14" s="26"/>
      <c r="AI14" s="26"/>
      <c r="AJ14" s="26"/>
      <c r="AK14" s="26"/>
      <c r="AL14" s="26"/>
      <c r="AM14" s="26"/>
      <c r="AN14" s="26"/>
      <c r="AO14" s="26"/>
      <c r="AP14" s="26"/>
      <c r="AQ14" s="26"/>
      <c r="AR14" s="26"/>
      <c r="AS14" s="26"/>
      <c r="AT14" s="26"/>
      <c r="AU14" s="187"/>
    </row>
    <row r="15" spans="1:47" s="188" customFormat="1" ht="89.25">
      <c r="A15" s="34" t="s">
        <v>424</v>
      </c>
      <c r="B15" s="34" t="s">
        <v>192</v>
      </c>
      <c r="C15" s="34" t="s">
        <v>67</v>
      </c>
      <c r="D15" s="189" t="s">
        <v>71</v>
      </c>
      <c r="E15" s="34" t="s">
        <v>72</v>
      </c>
      <c r="F15" s="34" t="s">
        <v>425</v>
      </c>
      <c r="G15" s="34" t="s">
        <v>193</v>
      </c>
      <c r="H15" s="34" t="s">
        <v>194</v>
      </c>
      <c r="I15" s="34" t="s">
        <v>426</v>
      </c>
      <c r="J15" s="190" t="s">
        <v>29</v>
      </c>
      <c r="K15" s="190" t="s">
        <v>28</v>
      </c>
      <c r="L15" s="191">
        <v>299890</v>
      </c>
      <c r="M15" s="192">
        <f t="shared" si="0"/>
        <v>194928.5</v>
      </c>
      <c r="N15" s="192">
        <f t="shared" si="1"/>
        <v>52480.75</v>
      </c>
      <c r="O15" s="192">
        <f t="shared" si="2"/>
        <v>52480.75</v>
      </c>
      <c r="P15" s="192">
        <v>0</v>
      </c>
      <c r="Q15" s="34" t="s">
        <v>199</v>
      </c>
      <c r="R15" s="193">
        <v>8</v>
      </c>
      <c r="S15" s="194">
        <v>0</v>
      </c>
      <c r="T15" s="194">
        <f t="shared" si="3"/>
        <v>1</v>
      </c>
      <c r="U15" s="193">
        <f t="shared" si="5"/>
        <v>8</v>
      </c>
      <c r="V15" s="194">
        <f t="shared" si="4"/>
        <v>1</v>
      </c>
      <c r="W15" s="195">
        <v>17</v>
      </c>
      <c r="X15" s="195">
        <v>20</v>
      </c>
      <c r="Y15" s="196">
        <v>70</v>
      </c>
      <c r="Z15" s="197" t="s">
        <v>200</v>
      </c>
      <c r="AA15" s="198"/>
      <c r="AB15" s="25" t="s">
        <v>427</v>
      </c>
      <c r="AC15" s="26"/>
      <c r="AD15" s="26"/>
      <c r="AE15" s="26"/>
      <c r="AF15" s="26"/>
      <c r="AG15" s="26"/>
      <c r="AH15" s="26"/>
      <c r="AI15" s="26"/>
      <c r="AJ15" s="26"/>
      <c r="AK15" s="26"/>
      <c r="AL15" s="26"/>
      <c r="AM15" s="26"/>
      <c r="AN15" s="26"/>
      <c r="AO15" s="26"/>
      <c r="AP15" s="26"/>
      <c r="AQ15" s="26"/>
      <c r="AR15" s="26"/>
      <c r="AS15" s="26"/>
      <c r="AT15" s="26"/>
      <c r="AU15" s="187"/>
    </row>
    <row r="16" spans="1:47" s="188" customFormat="1" ht="89.25">
      <c r="A16" s="34" t="s">
        <v>428</v>
      </c>
      <c r="B16" s="34" t="s">
        <v>192</v>
      </c>
      <c r="C16" s="34" t="s">
        <v>67</v>
      </c>
      <c r="D16" s="189" t="s">
        <v>71</v>
      </c>
      <c r="E16" s="34" t="s">
        <v>72</v>
      </c>
      <c r="F16" s="34" t="s">
        <v>429</v>
      </c>
      <c r="G16" s="34" t="s">
        <v>193</v>
      </c>
      <c r="H16" s="34" t="s">
        <v>194</v>
      </c>
      <c r="I16" s="34" t="s">
        <v>410</v>
      </c>
      <c r="J16" s="190" t="s">
        <v>29</v>
      </c>
      <c r="K16" s="190" t="s">
        <v>28</v>
      </c>
      <c r="L16" s="192">
        <f>572840+903300</f>
        <v>1476140</v>
      </c>
      <c r="M16" s="192">
        <f t="shared" si="0"/>
        <v>959491</v>
      </c>
      <c r="N16" s="192">
        <f t="shared" si="1"/>
        <v>258324.49999999997</v>
      </c>
      <c r="O16" s="192">
        <f t="shared" si="2"/>
        <v>258324.49999999997</v>
      </c>
      <c r="P16" s="192">
        <v>0</v>
      </c>
      <c r="Q16" s="34" t="s">
        <v>199</v>
      </c>
      <c r="R16" s="193">
        <f>14+27</f>
        <v>41</v>
      </c>
      <c r="S16" s="194">
        <v>0</v>
      </c>
      <c r="T16" s="194">
        <f t="shared" si="3"/>
        <v>1</v>
      </c>
      <c r="U16" s="193">
        <f t="shared" si="5"/>
        <v>41</v>
      </c>
      <c r="V16" s="194">
        <f t="shared" si="4"/>
        <v>1</v>
      </c>
      <c r="W16" s="195">
        <f>34+40</f>
        <v>74</v>
      </c>
      <c r="X16" s="195">
        <f>36+44</f>
        <v>80</v>
      </c>
      <c r="Y16" s="196">
        <v>70</v>
      </c>
      <c r="Z16" s="197" t="s">
        <v>200</v>
      </c>
      <c r="AA16" s="198" t="s">
        <v>418</v>
      </c>
      <c r="AB16" s="25" t="s">
        <v>430</v>
      </c>
      <c r="AC16" s="26"/>
      <c r="AD16" s="26"/>
      <c r="AE16" s="26"/>
      <c r="AF16" s="26"/>
      <c r="AG16" s="26"/>
      <c r="AH16" s="26"/>
      <c r="AI16" s="26"/>
      <c r="AJ16" s="26"/>
      <c r="AK16" s="26"/>
      <c r="AL16" s="26"/>
      <c r="AM16" s="26"/>
      <c r="AN16" s="26"/>
      <c r="AO16" s="26"/>
      <c r="AP16" s="26"/>
      <c r="AQ16" s="26"/>
      <c r="AR16" s="26"/>
      <c r="AS16" s="26"/>
      <c r="AT16" s="26"/>
      <c r="AU16" s="187"/>
    </row>
    <row r="17" spans="1:47" s="188" customFormat="1" ht="89.25">
      <c r="A17" s="34" t="s">
        <v>431</v>
      </c>
      <c r="B17" s="34" t="s">
        <v>192</v>
      </c>
      <c r="C17" s="34" t="s">
        <v>67</v>
      </c>
      <c r="D17" s="189" t="s">
        <v>71</v>
      </c>
      <c r="E17" s="34" t="s">
        <v>72</v>
      </c>
      <c r="F17" s="34" t="s">
        <v>432</v>
      </c>
      <c r="G17" s="34" t="s">
        <v>193</v>
      </c>
      <c r="H17" s="34" t="s">
        <v>194</v>
      </c>
      <c r="I17" s="34" t="s">
        <v>310</v>
      </c>
      <c r="J17" s="190" t="s">
        <v>29</v>
      </c>
      <c r="K17" s="190" t="s">
        <v>28</v>
      </c>
      <c r="L17" s="192">
        <f>653200+387300</f>
        <v>1040500</v>
      </c>
      <c r="M17" s="192">
        <f t="shared" si="0"/>
        <v>676325</v>
      </c>
      <c r="N17" s="192">
        <f t="shared" si="1"/>
        <v>182087.5</v>
      </c>
      <c r="O17" s="192">
        <f t="shared" si="2"/>
        <v>182087.5</v>
      </c>
      <c r="P17" s="192">
        <v>0</v>
      </c>
      <c r="Q17" s="34" t="s">
        <v>199</v>
      </c>
      <c r="R17" s="193">
        <f>17+10</f>
        <v>27</v>
      </c>
      <c r="S17" s="194">
        <v>0</v>
      </c>
      <c r="T17" s="194">
        <f t="shared" si="3"/>
        <v>1</v>
      </c>
      <c r="U17" s="193">
        <f t="shared" si="5"/>
        <v>27</v>
      </c>
      <c r="V17" s="194">
        <f t="shared" si="4"/>
        <v>1</v>
      </c>
      <c r="W17" s="195">
        <f>35+29</f>
        <v>64</v>
      </c>
      <c r="X17" s="195">
        <f>37+32</f>
        <v>69</v>
      </c>
      <c r="Y17" s="196">
        <v>90</v>
      </c>
      <c r="Z17" s="197" t="s">
        <v>200</v>
      </c>
      <c r="AA17" s="198" t="s">
        <v>418</v>
      </c>
      <c r="AB17" s="25" t="s">
        <v>433</v>
      </c>
      <c r="AC17" s="26"/>
      <c r="AD17" s="26"/>
      <c r="AE17" s="26"/>
      <c r="AF17" s="26"/>
      <c r="AG17" s="26"/>
      <c r="AH17" s="26"/>
      <c r="AI17" s="26"/>
      <c r="AJ17" s="26"/>
      <c r="AK17" s="26"/>
      <c r="AL17" s="26"/>
      <c r="AM17" s="26"/>
      <c r="AN17" s="26"/>
      <c r="AO17" s="26"/>
      <c r="AP17" s="26"/>
      <c r="AQ17" s="26"/>
      <c r="AR17" s="26"/>
      <c r="AS17" s="26"/>
      <c r="AT17" s="26"/>
      <c r="AU17" s="187"/>
    </row>
    <row r="18" spans="1:47" s="188" customFormat="1" ht="89.25">
      <c r="A18" s="34" t="s">
        <v>434</v>
      </c>
      <c r="B18" s="34" t="s">
        <v>192</v>
      </c>
      <c r="C18" s="34" t="s">
        <v>67</v>
      </c>
      <c r="D18" s="189" t="s">
        <v>71</v>
      </c>
      <c r="E18" s="34" t="s">
        <v>72</v>
      </c>
      <c r="F18" s="34" t="s">
        <v>435</v>
      </c>
      <c r="G18" s="34" t="s">
        <v>193</v>
      </c>
      <c r="H18" s="34" t="s">
        <v>194</v>
      </c>
      <c r="I18" s="34" t="s">
        <v>308</v>
      </c>
      <c r="J18" s="190" t="s">
        <v>29</v>
      </c>
      <c r="K18" s="190" t="s">
        <v>28</v>
      </c>
      <c r="L18" s="191">
        <v>375840</v>
      </c>
      <c r="M18" s="192">
        <f t="shared" si="0"/>
        <v>244296</v>
      </c>
      <c r="N18" s="192">
        <f t="shared" si="1"/>
        <v>65772</v>
      </c>
      <c r="O18" s="192">
        <f t="shared" si="2"/>
        <v>65772</v>
      </c>
      <c r="P18" s="192">
        <v>0</v>
      </c>
      <c r="Q18" s="34" t="s">
        <v>199</v>
      </c>
      <c r="R18" s="193">
        <v>11</v>
      </c>
      <c r="S18" s="194">
        <v>0</v>
      </c>
      <c r="T18" s="194">
        <f t="shared" si="3"/>
        <v>1</v>
      </c>
      <c r="U18" s="193">
        <f t="shared" si="5"/>
        <v>11</v>
      </c>
      <c r="V18" s="194">
        <f t="shared" si="4"/>
        <v>1</v>
      </c>
      <c r="W18" s="195">
        <v>20</v>
      </c>
      <c r="X18" s="195">
        <v>23</v>
      </c>
      <c r="Y18" s="196">
        <v>70</v>
      </c>
      <c r="Z18" s="197" t="s">
        <v>200</v>
      </c>
      <c r="AA18" s="198"/>
      <c r="AB18" s="25" t="s">
        <v>436</v>
      </c>
      <c r="AC18" s="26"/>
      <c r="AD18" s="26"/>
      <c r="AE18" s="26"/>
      <c r="AF18" s="26"/>
      <c r="AG18" s="26"/>
      <c r="AH18" s="26"/>
      <c r="AI18" s="26"/>
      <c r="AJ18" s="26"/>
      <c r="AK18" s="26"/>
      <c r="AL18" s="26"/>
      <c r="AM18" s="26"/>
      <c r="AN18" s="26"/>
      <c r="AO18" s="26"/>
      <c r="AP18" s="26"/>
      <c r="AQ18" s="26"/>
      <c r="AR18" s="26"/>
      <c r="AS18" s="26"/>
      <c r="AT18" s="26"/>
      <c r="AU18" s="187"/>
    </row>
    <row r="19" spans="1:47" s="188" customFormat="1" ht="102">
      <c r="A19" s="34" t="s">
        <v>437</v>
      </c>
      <c r="B19" s="34" t="s">
        <v>192</v>
      </c>
      <c r="C19" s="34" t="s">
        <v>95</v>
      </c>
      <c r="D19" s="189" t="s">
        <v>116</v>
      </c>
      <c r="E19" s="34" t="s">
        <v>203</v>
      </c>
      <c r="F19" s="34" t="s">
        <v>438</v>
      </c>
      <c r="G19" s="34" t="s">
        <v>193</v>
      </c>
      <c r="H19" s="34" t="s">
        <v>194</v>
      </c>
      <c r="I19" s="34" t="s">
        <v>439</v>
      </c>
      <c r="J19" s="190" t="s">
        <v>28</v>
      </c>
      <c r="K19" s="190" t="s">
        <v>28</v>
      </c>
      <c r="L19" s="191">
        <v>4800000</v>
      </c>
      <c r="M19" s="192">
        <f t="shared" si="0"/>
        <v>3120000</v>
      </c>
      <c r="N19" s="192">
        <f t="shared" si="1"/>
        <v>840000</v>
      </c>
      <c r="O19" s="192">
        <f t="shared" si="2"/>
        <v>840000</v>
      </c>
      <c r="P19" s="192">
        <v>0</v>
      </c>
      <c r="Q19" s="34" t="s">
        <v>86</v>
      </c>
      <c r="R19" s="193">
        <v>7.2</v>
      </c>
      <c r="S19" s="194">
        <f>1.5/R19</f>
        <v>0.20833333333333331</v>
      </c>
      <c r="T19" s="194">
        <f t="shared" si="3"/>
        <v>0.41666666666666663</v>
      </c>
      <c r="U19" s="193">
        <f>4.5-1.5</f>
        <v>3</v>
      </c>
      <c r="V19" s="194">
        <f>S19+T19</f>
        <v>0.625</v>
      </c>
      <c r="W19" s="195" t="s">
        <v>440</v>
      </c>
      <c r="X19" s="195" t="s">
        <v>441</v>
      </c>
      <c r="Y19" s="196">
        <v>105</v>
      </c>
      <c r="Z19" s="197" t="s">
        <v>442</v>
      </c>
      <c r="AA19" s="198" t="s">
        <v>443</v>
      </c>
      <c r="AB19" s="25" t="s">
        <v>444</v>
      </c>
      <c r="AC19" s="26"/>
      <c r="AD19" s="26"/>
      <c r="AE19" s="26"/>
      <c r="AF19" s="26"/>
      <c r="AG19" s="26"/>
      <c r="AH19" s="26"/>
      <c r="AI19" s="26"/>
      <c r="AJ19" s="26"/>
      <c r="AK19" s="26"/>
      <c r="AL19" s="26"/>
      <c r="AM19" s="26"/>
      <c r="AN19" s="26"/>
      <c r="AO19" s="26"/>
      <c r="AP19" s="26"/>
      <c r="AQ19" s="26"/>
      <c r="AR19" s="26"/>
      <c r="AS19" s="26"/>
      <c r="AT19" s="26"/>
      <c r="AU19" s="187"/>
    </row>
    <row r="20" spans="1:47" s="188" customFormat="1" ht="89.25">
      <c r="A20" s="34" t="s">
        <v>445</v>
      </c>
      <c r="B20" s="34" t="s">
        <v>192</v>
      </c>
      <c r="C20" s="34" t="s">
        <v>95</v>
      </c>
      <c r="D20" s="189" t="s">
        <v>116</v>
      </c>
      <c r="E20" s="34" t="s">
        <v>203</v>
      </c>
      <c r="F20" s="34" t="s">
        <v>446</v>
      </c>
      <c r="G20" s="34" t="s">
        <v>193</v>
      </c>
      <c r="H20" s="34" t="s">
        <v>194</v>
      </c>
      <c r="I20" s="34" t="s">
        <v>302</v>
      </c>
      <c r="J20" s="190" t="s">
        <v>171</v>
      </c>
      <c r="K20" s="190" t="s">
        <v>28</v>
      </c>
      <c r="L20" s="191">
        <v>4200000</v>
      </c>
      <c r="M20" s="192">
        <f t="shared" si="0"/>
        <v>2730000</v>
      </c>
      <c r="N20" s="192">
        <f t="shared" si="1"/>
        <v>735000</v>
      </c>
      <c r="O20" s="192">
        <f t="shared" si="2"/>
        <v>735000</v>
      </c>
      <c r="P20" s="192">
        <v>0</v>
      </c>
      <c r="Q20" s="34" t="s">
        <v>86</v>
      </c>
      <c r="R20" s="193">
        <v>5</v>
      </c>
      <c r="S20" s="194">
        <f>2.2/R20</f>
        <v>0.44000000000000006</v>
      </c>
      <c r="T20" s="194">
        <f t="shared" si="3"/>
        <v>0.5599999999999999</v>
      </c>
      <c r="U20" s="193">
        <v>2.8</v>
      </c>
      <c r="V20" s="194">
        <f>S20+T20</f>
        <v>1</v>
      </c>
      <c r="W20" s="195">
        <v>532</v>
      </c>
      <c r="X20" s="195">
        <v>573</v>
      </c>
      <c r="Y20" s="196">
        <v>120</v>
      </c>
      <c r="Z20" s="197" t="s">
        <v>442</v>
      </c>
      <c r="AA20" s="198" t="s">
        <v>443</v>
      </c>
      <c r="AB20" s="25" t="s">
        <v>444</v>
      </c>
      <c r="AC20" s="26"/>
      <c r="AD20" s="26"/>
      <c r="AE20" s="26"/>
      <c r="AF20" s="26"/>
      <c r="AG20" s="26"/>
      <c r="AH20" s="26"/>
      <c r="AI20" s="26"/>
      <c r="AJ20" s="26"/>
      <c r="AK20" s="26"/>
      <c r="AL20" s="26"/>
      <c r="AM20" s="26"/>
      <c r="AN20" s="26"/>
      <c r="AO20" s="26"/>
      <c r="AP20" s="26"/>
      <c r="AQ20" s="26"/>
      <c r="AR20" s="26"/>
      <c r="AS20" s="26"/>
      <c r="AT20" s="26"/>
      <c r="AU20" s="187"/>
    </row>
    <row r="21" spans="1:47" s="188" customFormat="1" ht="89.25">
      <c r="A21" s="34" t="s">
        <v>447</v>
      </c>
      <c r="B21" s="34" t="s">
        <v>192</v>
      </c>
      <c r="C21" s="34" t="s">
        <v>95</v>
      </c>
      <c r="D21" s="189" t="s">
        <v>116</v>
      </c>
      <c r="E21" s="34" t="s">
        <v>203</v>
      </c>
      <c r="F21" s="34" t="s">
        <v>448</v>
      </c>
      <c r="G21" s="34" t="s">
        <v>193</v>
      </c>
      <c r="H21" s="34" t="s">
        <v>194</v>
      </c>
      <c r="I21" s="34" t="s">
        <v>449</v>
      </c>
      <c r="J21" s="190" t="s">
        <v>171</v>
      </c>
      <c r="K21" s="190" t="s">
        <v>28</v>
      </c>
      <c r="L21" s="191">
        <v>2850000</v>
      </c>
      <c r="M21" s="192">
        <f t="shared" si="0"/>
        <v>1852500</v>
      </c>
      <c r="N21" s="192">
        <f t="shared" si="1"/>
        <v>498749.99999999994</v>
      </c>
      <c r="O21" s="192">
        <f t="shared" si="2"/>
        <v>498749.99999999994</v>
      </c>
      <c r="P21" s="192">
        <v>0</v>
      </c>
      <c r="Q21" s="34" t="s">
        <v>86</v>
      </c>
      <c r="R21" s="193">
        <v>2.1</v>
      </c>
      <c r="S21" s="194">
        <f>(2.1-1.9)/R21</f>
        <v>0.09523809523809532</v>
      </c>
      <c r="T21" s="194">
        <f t="shared" si="3"/>
        <v>0.9047619047619047</v>
      </c>
      <c r="U21" s="193">
        <f>1.9</f>
        <v>1.9</v>
      </c>
      <c r="V21" s="194">
        <f>S21+T21</f>
        <v>1</v>
      </c>
      <c r="W21" s="195" t="s">
        <v>450</v>
      </c>
      <c r="X21" s="195" t="s">
        <v>451</v>
      </c>
      <c r="Y21" s="196">
        <v>105</v>
      </c>
      <c r="Z21" s="197" t="s">
        <v>442</v>
      </c>
      <c r="AA21" s="198" t="s">
        <v>443</v>
      </c>
      <c r="AB21" s="25" t="s">
        <v>452</v>
      </c>
      <c r="AC21" s="26"/>
      <c r="AD21" s="26"/>
      <c r="AE21" s="26"/>
      <c r="AF21" s="26"/>
      <c r="AG21" s="26"/>
      <c r="AH21" s="26"/>
      <c r="AI21" s="26"/>
      <c r="AJ21" s="26"/>
      <c r="AK21" s="26"/>
      <c r="AL21" s="26"/>
      <c r="AM21" s="26"/>
      <c r="AN21" s="26"/>
      <c r="AO21" s="26"/>
      <c r="AP21" s="26"/>
      <c r="AQ21" s="26"/>
      <c r="AR21" s="26"/>
      <c r="AS21" s="26"/>
      <c r="AT21" s="26"/>
      <c r="AU21" s="187"/>
    </row>
    <row r="22" spans="1:47" s="188" customFormat="1" ht="89.25">
      <c r="A22" s="34" t="s">
        <v>453</v>
      </c>
      <c r="B22" s="34" t="s">
        <v>192</v>
      </c>
      <c r="C22" s="34" t="s">
        <v>95</v>
      </c>
      <c r="D22" s="189" t="s">
        <v>116</v>
      </c>
      <c r="E22" s="34" t="s">
        <v>203</v>
      </c>
      <c r="F22" s="34" t="s">
        <v>454</v>
      </c>
      <c r="G22" s="34" t="s">
        <v>193</v>
      </c>
      <c r="H22" s="34" t="s">
        <v>194</v>
      </c>
      <c r="I22" s="34" t="s">
        <v>426</v>
      </c>
      <c r="J22" s="190" t="s">
        <v>171</v>
      </c>
      <c r="K22" s="190" t="s">
        <v>28</v>
      </c>
      <c r="L22" s="191">
        <v>1800000</v>
      </c>
      <c r="M22" s="192">
        <f t="shared" si="0"/>
        <v>1170000</v>
      </c>
      <c r="N22" s="192">
        <f t="shared" si="1"/>
        <v>315000</v>
      </c>
      <c r="O22" s="192">
        <f t="shared" si="2"/>
        <v>315000</v>
      </c>
      <c r="P22" s="192">
        <v>0</v>
      </c>
      <c r="Q22" s="34" t="s">
        <v>86</v>
      </c>
      <c r="R22" s="193">
        <v>2.539</v>
      </c>
      <c r="S22" s="194">
        <v>0.5588814493895234</v>
      </c>
      <c r="T22" s="194">
        <f t="shared" si="3"/>
        <v>0.44111855061047656</v>
      </c>
      <c r="U22" s="193">
        <v>1.12</v>
      </c>
      <c r="V22" s="194">
        <f>S22+T22</f>
        <v>1</v>
      </c>
      <c r="W22" s="195">
        <v>540</v>
      </c>
      <c r="X22" s="195">
        <v>622</v>
      </c>
      <c r="Y22" s="196">
        <v>105</v>
      </c>
      <c r="Z22" s="197" t="s">
        <v>442</v>
      </c>
      <c r="AA22" s="198" t="s">
        <v>443</v>
      </c>
      <c r="AB22" s="25" t="s">
        <v>444</v>
      </c>
      <c r="AC22" s="26"/>
      <c r="AD22" s="26"/>
      <c r="AE22" s="26"/>
      <c r="AF22" s="26"/>
      <c r="AG22" s="26"/>
      <c r="AH22" s="26"/>
      <c r="AI22" s="26"/>
      <c r="AJ22" s="26"/>
      <c r="AK22" s="26"/>
      <c r="AL22" s="26"/>
      <c r="AM22" s="26"/>
      <c r="AN22" s="26"/>
      <c r="AO22" s="26"/>
      <c r="AP22" s="26"/>
      <c r="AQ22" s="26"/>
      <c r="AR22" s="26"/>
      <c r="AS22" s="26"/>
      <c r="AT22" s="26"/>
      <c r="AU22" s="187"/>
    </row>
    <row r="23" spans="1:47" s="188" customFormat="1" ht="89.25">
      <c r="A23" s="34" t="s">
        <v>455</v>
      </c>
      <c r="B23" s="34" t="s">
        <v>192</v>
      </c>
      <c r="C23" s="34" t="s">
        <v>95</v>
      </c>
      <c r="D23" s="189" t="s">
        <v>116</v>
      </c>
      <c r="E23" s="34" t="s">
        <v>203</v>
      </c>
      <c r="F23" s="34" t="s">
        <v>456</v>
      </c>
      <c r="G23" s="34" t="s">
        <v>193</v>
      </c>
      <c r="H23" s="34" t="s">
        <v>194</v>
      </c>
      <c r="I23" s="34" t="s">
        <v>300</v>
      </c>
      <c r="J23" s="190" t="s">
        <v>171</v>
      </c>
      <c r="K23" s="190" t="s">
        <v>28</v>
      </c>
      <c r="L23" s="191">
        <v>4456520</v>
      </c>
      <c r="M23" s="192">
        <f t="shared" si="0"/>
        <v>2896738</v>
      </c>
      <c r="N23" s="192">
        <f t="shared" si="1"/>
        <v>779891</v>
      </c>
      <c r="O23" s="192">
        <f t="shared" si="2"/>
        <v>779891</v>
      </c>
      <c r="P23" s="192">
        <v>0</v>
      </c>
      <c r="Q23" s="34" t="s">
        <v>86</v>
      </c>
      <c r="R23" s="193">
        <v>6</v>
      </c>
      <c r="S23" s="194">
        <f>2.39/R23</f>
        <v>0.3983333333333334</v>
      </c>
      <c r="T23" s="194">
        <f t="shared" si="3"/>
        <v>0.6016666666666667</v>
      </c>
      <c r="U23" s="193">
        <f>6-2.39</f>
        <v>3.61</v>
      </c>
      <c r="V23" s="194">
        <f>S23+T23</f>
        <v>1</v>
      </c>
      <c r="W23" s="195">
        <v>502</v>
      </c>
      <c r="X23" s="195">
        <v>585</v>
      </c>
      <c r="Y23" s="196">
        <v>120</v>
      </c>
      <c r="Z23" s="197" t="s">
        <v>442</v>
      </c>
      <c r="AA23" s="198" t="s">
        <v>457</v>
      </c>
      <c r="AB23" s="25" t="s">
        <v>444</v>
      </c>
      <c r="AC23" s="26"/>
      <c r="AD23" s="26"/>
      <c r="AE23" s="26"/>
      <c r="AF23" s="26"/>
      <c r="AG23" s="26"/>
      <c r="AH23" s="26"/>
      <c r="AI23" s="26"/>
      <c r="AJ23" s="26"/>
      <c r="AK23" s="26"/>
      <c r="AL23" s="26"/>
      <c r="AM23" s="26"/>
      <c r="AN23" s="26"/>
      <c r="AO23" s="26"/>
      <c r="AP23" s="26"/>
      <c r="AQ23" s="26"/>
      <c r="AR23" s="26"/>
      <c r="AS23" s="26"/>
      <c r="AT23" s="26"/>
      <c r="AU23" s="187"/>
    </row>
    <row r="24" spans="1:47" s="188" customFormat="1" ht="153.75" customHeight="1">
      <c r="A24" s="34" t="s">
        <v>458</v>
      </c>
      <c r="B24" s="34" t="s">
        <v>192</v>
      </c>
      <c r="C24" s="34" t="s">
        <v>95</v>
      </c>
      <c r="D24" s="189" t="s">
        <v>116</v>
      </c>
      <c r="E24" s="34" t="s">
        <v>203</v>
      </c>
      <c r="F24" s="34" t="s">
        <v>459</v>
      </c>
      <c r="G24" s="34" t="s">
        <v>193</v>
      </c>
      <c r="H24" s="34" t="s">
        <v>194</v>
      </c>
      <c r="I24" s="34" t="s">
        <v>395</v>
      </c>
      <c r="J24" s="190" t="s">
        <v>29</v>
      </c>
      <c r="K24" s="190" t="s">
        <v>28</v>
      </c>
      <c r="L24" s="191">
        <v>3750000</v>
      </c>
      <c r="M24" s="192">
        <f t="shared" si="0"/>
        <v>2437500</v>
      </c>
      <c r="N24" s="192">
        <f t="shared" si="1"/>
        <v>656250</v>
      </c>
      <c r="O24" s="192">
        <f t="shared" si="2"/>
        <v>656250</v>
      </c>
      <c r="P24" s="192">
        <v>0</v>
      </c>
      <c r="Q24" s="34" t="s">
        <v>86</v>
      </c>
      <c r="R24" s="193">
        <v>2.5</v>
      </c>
      <c r="S24" s="194">
        <v>0</v>
      </c>
      <c r="T24" s="194">
        <f t="shared" si="3"/>
        <v>1</v>
      </c>
      <c r="U24" s="193">
        <f>R24</f>
        <v>2.5</v>
      </c>
      <c r="V24" s="194">
        <f>T24</f>
        <v>1</v>
      </c>
      <c r="W24" s="195">
        <v>57</v>
      </c>
      <c r="X24" s="195">
        <v>87</v>
      </c>
      <c r="Y24" s="196">
        <v>105</v>
      </c>
      <c r="Z24" s="197" t="s">
        <v>442</v>
      </c>
      <c r="AA24" s="198" t="s">
        <v>460</v>
      </c>
      <c r="AB24" s="25" t="s">
        <v>398</v>
      </c>
      <c r="AC24" s="26"/>
      <c r="AD24" s="26"/>
      <c r="AE24" s="26"/>
      <c r="AF24" s="26"/>
      <c r="AG24" s="26"/>
      <c r="AH24" s="26"/>
      <c r="AI24" s="26"/>
      <c r="AJ24" s="26"/>
      <c r="AK24" s="26"/>
      <c r="AL24" s="26"/>
      <c r="AM24" s="26"/>
      <c r="AN24" s="26"/>
      <c r="AO24" s="26"/>
      <c r="AP24" s="26"/>
      <c r="AQ24" s="26"/>
      <c r="AR24" s="26"/>
      <c r="AS24" s="26"/>
      <c r="AT24" s="26"/>
      <c r="AU24" s="187"/>
    </row>
    <row r="25" spans="1:47" s="188" customFormat="1" ht="242.25">
      <c r="A25" s="34" t="s">
        <v>461</v>
      </c>
      <c r="B25" s="34" t="s">
        <v>192</v>
      </c>
      <c r="C25" s="34" t="s">
        <v>118</v>
      </c>
      <c r="D25" s="189">
        <v>4</v>
      </c>
      <c r="E25" s="34" t="s">
        <v>462</v>
      </c>
      <c r="F25" s="34" t="s">
        <v>463</v>
      </c>
      <c r="G25" s="34" t="s">
        <v>193</v>
      </c>
      <c r="H25" s="34" t="s">
        <v>194</v>
      </c>
      <c r="I25" s="34" t="s">
        <v>464</v>
      </c>
      <c r="J25" s="190" t="s">
        <v>29</v>
      </c>
      <c r="K25" s="190" t="s">
        <v>28</v>
      </c>
      <c r="L25" s="191">
        <v>1500000</v>
      </c>
      <c r="M25" s="192">
        <f>L25*0.65</f>
        <v>975000</v>
      </c>
      <c r="N25" s="192">
        <f>L25*0.175</f>
        <v>262500</v>
      </c>
      <c r="O25" s="192">
        <f>L25*0.175</f>
        <v>262500</v>
      </c>
      <c r="P25" s="192">
        <v>0</v>
      </c>
      <c r="Q25" s="34" t="s">
        <v>81</v>
      </c>
      <c r="R25" s="193">
        <v>1</v>
      </c>
      <c r="S25" s="194">
        <v>0</v>
      </c>
      <c r="T25" s="194">
        <f>U25/R25</f>
        <v>1</v>
      </c>
      <c r="U25" s="193">
        <f>R25</f>
        <v>1</v>
      </c>
      <c r="V25" s="194">
        <v>1</v>
      </c>
      <c r="W25" s="195" t="s">
        <v>465</v>
      </c>
      <c r="X25" s="195" t="s">
        <v>466</v>
      </c>
      <c r="Y25" s="196">
        <v>120</v>
      </c>
      <c r="Z25" s="34" t="s">
        <v>467</v>
      </c>
      <c r="AA25" s="25" t="s">
        <v>468</v>
      </c>
      <c r="AB25" s="25" t="s">
        <v>469</v>
      </c>
      <c r="AC25" s="26"/>
      <c r="AD25" s="26"/>
      <c r="AE25" s="26"/>
      <c r="AF25" s="26"/>
      <c r="AG25" s="26"/>
      <c r="AH25" s="26"/>
      <c r="AI25" s="26"/>
      <c r="AJ25" s="26"/>
      <c r="AK25" s="26"/>
      <c r="AL25" s="26"/>
      <c r="AM25" s="26"/>
      <c r="AN25" s="26"/>
      <c r="AO25" s="26"/>
      <c r="AP25" s="26"/>
      <c r="AQ25" s="26"/>
      <c r="AR25" s="26"/>
      <c r="AS25" s="26"/>
      <c r="AT25" s="26"/>
      <c r="AU25" s="187"/>
    </row>
    <row r="26" spans="1:47" s="188" customFormat="1" ht="219" customHeight="1">
      <c r="A26" s="34" t="s">
        <v>470</v>
      </c>
      <c r="B26" s="34" t="s">
        <v>192</v>
      </c>
      <c r="C26" s="34" t="s">
        <v>78</v>
      </c>
      <c r="D26" s="189" t="s">
        <v>378</v>
      </c>
      <c r="E26" s="34" t="s">
        <v>79</v>
      </c>
      <c r="F26" s="34" t="s">
        <v>471</v>
      </c>
      <c r="G26" s="34" t="s">
        <v>193</v>
      </c>
      <c r="H26" s="34" t="s">
        <v>194</v>
      </c>
      <c r="I26" s="34" t="s">
        <v>472</v>
      </c>
      <c r="J26" s="190" t="s">
        <v>29</v>
      </c>
      <c r="K26" s="190" t="s">
        <v>28</v>
      </c>
      <c r="L26" s="191">
        <v>1000000</v>
      </c>
      <c r="M26" s="192">
        <f>L26*0.65</f>
        <v>650000</v>
      </c>
      <c r="N26" s="192">
        <f>L26*0.175</f>
        <v>175000</v>
      </c>
      <c r="O26" s="192">
        <f>L26*0.175</f>
        <v>175000</v>
      </c>
      <c r="P26" s="192">
        <v>0</v>
      </c>
      <c r="Q26" s="34" t="s">
        <v>81</v>
      </c>
      <c r="R26" s="193">
        <v>1</v>
      </c>
      <c r="S26" s="194">
        <v>0</v>
      </c>
      <c r="T26" s="194">
        <v>1</v>
      </c>
      <c r="U26" s="193">
        <f>R26</f>
        <v>1</v>
      </c>
      <c r="V26" s="194">
        <v>1</v>
      </c>
      <c r="W26" s="200" t="s">
        <v>473</v>
      </c>
      <c r="X26" s="200" t="s">
        <v>474</v>
      </c>
      <c r="Y26" s="196">
        <v>120</v>
      </c>
      <c r="Z26" s="34" t="s">
        <v>249</v>
      </c>
      <c r="AA26" s="25" t="s">
        <v>475</v>
      </c>
      <c r="AB26" s="25"/>
      <c r="AC26" s="26"/>
      <c r="AD26" s="26"/>
      <c r="AE26" s="26"/>
      <c r="AF26" s="26"/>
      <c r="AG26" s="26"/>
      <c r="AH26" s="26"/>
      <c r="AI26" s="26"/>
      <c r="AJ26" s="26"/>
      <c r="AK26" s="26"/>
      <c r="AL26" s="26"/>
      <c r="AM26" s="26"/>
      <c r="AN26" s="26"/>
      <c r="AO26" s="26"/>
      <c r="AP26" s="26"/>
      <c r="AQ26" s="26"/>
      <c r="AR26" s="26"/>
      <c r="AS26" s="26"/>
      <c r="AT26" s="26"/>
      <c r="AU26" s="187"/>
    </row>
    <row r="27" spans="1:28" s="203" customFormat="1" ht="76.5">
      <c r="A27" s="34" t="s">
        <v>476</v>
      </c>
      <c r="B27" s="197" t="s">
        <v>477</v>
      </c>
      <c r="C27" s="197" t="s">
        <v>118</v>
      </c>
      <c r="D27" s="201" t="s">
        <v>119</v>
      </c>
      <c r="E27" s="197" t="s">
        <v>72</v>
      </c>
      <c r="F27" s="34" t="s">
        <v>478</v>
      </c>
      <c r="G27" s="197" t="s">
        <v>479</v>
      </c>
      <c r="H27" s="34" t="s">
        <v>480</v>
      </c>
      <c r="I27" s="34" t="s">
        <v>481</v>
      </c>
      <c r="J27" s="190" t="s">
        <v>29</v>
      </c>
      <c r="K27" s="190" t="s">
        <v>28</v>
      </c>
      <c r="L27" s="191">
        <v>2540000</v>
      </c>
      <c r="M27" s="192">
        <f t="shared" si="0"/>
        <v>1651000</v>
      </c>
      <c r="N27" s="192">
        <f t="shared" si="1"/>
        <v>444500</v>
      </c>
      <c r="O27" s="192">
        <f t="shared" si="2"/>
        <v>444500</v>
      </c>
      <c r="P27" s="192">
        <v>0</v>
      </c>
      <c r="Q27" s="34" t="s">
        <v>77</v>
      </c>
      <c r="R27" s="193">
        <v>1</v>
      </c>
      <c r="S27" s="194">
        <v>0</v>
      </c>
      <c r="T27" s="194">
        <f t="shared" si="3"/>
        <v>1</v>
      </c>
      <c r="U27" s="193">
        <v>1</v>
      </c>
      <c r="V27" s="194">
        <f>S27+T27</f>
        <v>1</v>
      </c>
      <c r="W27" s="195">
        <v>99</v>
      </c>
      <c r="X27" s="195">
        <v>111</v>
      </c>
      <c r="Y27" s="196">
        <v>150</v>
      </c>
      <c r="Z27" s="197" t="s">
        <v>254</v>
      </c>
      <c r="AA27" s="202" t="s">
        <v>482</v>
      </c>
      <c r="AB27" s="25" t="s">
        <v>483</v>
      </c>
    </row>
    <row r="28" spans="1:28" s="203" customFormat="1" ht="76.5">
      <c r="A28" s="34" t="s">
        <v>484</v>
      </c>
      <c r="B28" s="197" t="s">
        <v>477</v>
      </c>
      <c r="C28" s="197" t="s">
        <v>118</v>
      </c>
      <c r="D28" s="201" t="s">
        <v>119</v>
      </c>
      <c r="E28" s="197" t="s">
        <v>72</v>
      </c>
      <c r="F28" s="34" t="s">
        <v>485</v>
      </c>
      <c r="G28" s="197" t="s">
        <v>479</v>
      </c>
      <c r="H28" s="34" t="s">
        <v>480</v>
      </c>
      <c r="I28" s="34" t="s">
        <v>486</v>
      </c>
      <c r="J28" s="190" t="s">
        <v>29</v>
      </c>
      <c r="K28" s="190" t="s">
        <v>28</v>
      </c>
      <c r="L28" s="204">
        <v>3800000</v>
      </c>
      <c r="M28" s="204">
        <f t="shared" si="0"/>
        <v>2470000</v>
      </c>
      <c r="N28" s="204">
        <f t="shared" si="1"/>
        <v>665000</v>
      </c>
      <c r="O28" s="204">
        <f t="shared" si="2"/>
        <v>665000</v>
      </c>
      <c r="P28" s="192">
        <v>0</v>
      </c>
      <c r="Q28" s="197" t="s">
        <v>77</v>
      </c>
      <c r="R28" s="193">
        <v>1</v>
      </c>
      <c r="S28" s="205">
        <v>0</v>
      </c>
      <c r="T28" s="206">
        <f t="shared" si="3"/>
        <v>1</v>
      </c>
      <c r="U28" s="207">
        <v>1</v>
      </c>
      <c r="V28" s="208">
        <f>S28+T28</f>
        <v>1</v>
      </c>
      <c r="W28" s="209">
        <v>104</v>
      </c>
      <c r="X28" s="209">
        <v>116</v>
      </c>
      <c r="Y28" s="197">
        <v>150</v>
      </c>
      <c r="Z28" s="197" t="s">
        <v>254</v>
      </c>
      <c r="AA28" s="202" t="s">
        <v>487</v>
      </c>
      <c r="AB28" s="25" t="s">
        <v>488</v>
      </c>
    </row>
    <row r="29" spans="1:28" s="203" customFormat="1" ht="76.5">
      <c r="A29" s="34" t="s">
        <v>489</v>
      </c>
      <c r="B29" s="197" t="s">
        <v>477</v>
      </c>
      <c r="C29" s="197" t="s">
        <v>67</v>
      </c>
      <c r="D29" s="189" t="s">
        <v>71</v>
      </c>
      <c r="E29" s="34" t="s">
        <v>72</v>
      </c>
      <c r="F29" s="34" t="s">
        <v>490</v>
      </c>
      <c r="G29" s="197" t="s">
        <v>479</v>
      </c>
      <c r="H29" s="34" t="s">
        <v>480</v>
      </c>
      <c r="I29" s="34" t="s">
        <v>491</v>
      </c>
      <c r="J29" s="190" t="s">
        <v>29</v>
      </c>
      <c r="K29" s="190" t="s">
        <v>28</v>
      </c>
      <c r="L29" s="204">
        <v>350000</v>
      </c>
      <c r="M29" s="204">
        <f t="shared" si="0"/>
        <v>227500</v>
      </c>
      <c r="N29" s="204">
        <f t="shared" si="1"/>
        <v>61249.99999999999</v>
      </c>
      <c r="O29" s="204">
        <f t="shared" si="2"/>
        <v>61249.99999999999</v>
      </c>
      <c r="P29" s="192">
        <v>0</v>
      </c>
      <c r="Q29" s="197" t="s">
        <v>138</v>
      </c>
      <c r="R29" s="193">
        <v>7</v>
      </c>
      <c r="S29" s="205">
        <v>0</v>
      </c>
      <c r="T29" s="206">
        <f t="shared" si="3"/>
        <v>1</v>
      </c>
      <c r="U29" s="207">
        <v>7</v>
      </c>
      <c r="V29" s="208">
        <f>S29+T29</f>
        <v>1</v>
      </c>
      <c r="W29" s="209">
        <v>23</v>
      </c>
      <c r="X29" s="209">
        <v>26</v>
      </c>
      <c r="Y29" s="197">
        <v>70</v>
      </c>
      <c r="Z29" s="197" t="s">
        <v>200</v>
      </c>
      <c r="AA29" s="198"/>
      <c r="AB29" s="25" t="s">
        <v>492</v>
      </c>
    </row>
    <row r="30" spans="1:28" s="203" customFormat="1" ht="76.5">
      <c r="A30" s="34" t="s">
        <v>493</v>
      </c>
      <c r="B30" s="197" t="s">
        <v>477</v>
      </c>
      <c r="C30" s="197" t="s">
        <v>67</v>
      </c>
      <c r="D30" s="189" t="s">
        <v>71</v>
      </c>
      <c r="E30" s="34" t="s">
        <v>72</v>
      </c>
      <c r="F30" s="34" t="s">
        <v>494</v>
      </c>
      <c r="G30" s="197" t="s">
        <v>479</v>
      </c>
      <c r="H30" s="34" t="s">
        <v>480</v>
      </c>
      <c r="I30" s="34" t="s">
        <v>495</v>
      </c>
      <c r="J30" s="190" t="s">
        <v>29</v>
      </c>
      <c r="K30" s="190" t="s">
        <v>28</v>
      </c>
      <c r="L30" s="204">
        <v>300000</v>
      </c>
      <c r="M30" s="204">
        <f t="shared" si="0"/>
        <v>195000</v>
      </c>
      <c r="N30" s="204">
        <f t="shared" si="1"/>
        <v>52500</v>
      </c>
      <c r="O30" s="204">
        <f t="shared" si="2"/>
        <v>52500</v>
      </c>
      <c r="P30" s="192">
        <v>0</v>
      </c>
      <c r="Q30" s="197" t="s">
        <v>138</v>
      </c>
      <c r="R30" s="193">
        <v>6</v>
      </c>
      <c r="S30" s="205">
        <v>0</v>
      </c>
      <c r="T30" s="206">
        <f t="shared" si="3"/>
        <v>1</v>
      </c>
      <c r="U30" s="207">
        <v>6</v>
      </c>
      <c r="V30" s="208">
        <f>S30+T30</f>
        <v>1</v>
      </c>
      <c r="W30" s="209">
        <v>26</v>
      </c>
      <c r="X30" s="209">
        <v>29</v>
      </c>
      <c r="Y30" s="197">
        <v>70</v>
      </c>
      <c r="Z30" s="197" t="s">
        <v>200</v>
      </c>
      <c r="AA30" s="198"/>
      <c r="AB30" s="25" t="s">
        <v>496</v>
      </c>
    </row>
    <row r="31" spans="1:28" s="203" customFormat="1" ht="140.25">
      <c r="A31" s="34" t="s">
        <v>497</v>
      </c>
      <c r="B31" s="197" t="s">
        <v>477</v>
      </c>
      <c r="C31" s="197" t="s">
        <v>67</v>
      </c>
      <c r="D31" s="189" t="s">
        <v>71</v>
      </c>
      <c r="E31" s="34" t="s">
        <v>72</v>
      </c>
      <c r="F31" s="34" t="s">
        <v>498</v>
      </c>
      <c r="G31" s="197" t="s">
        <v>479</v>
      </c>
      <c r="H31" s="34" t="s">
        <v>480</v>
      </c>
      <c r="I31" s="34" t="s">
        <v>499</v>
      </c>
      <c r="J31" s="190" t="s">
        <v>29</v>
      </c>
      <c r="K31" s="190" t="s">
        <v>28</v>
      </c>
      <c r="L31" s="204">
        <v>250000</v>
      </c>
      <c r="M31" s="204">
        <f t="shared" si="0"/>
        <v>162500</v>
      </c>
      <c r="N31" s="204">
        <f t="shared" si="1"/>
        <v>43750</v>
      </c>
      <c r="O31" s="204">
        <f t="shared" si="2"/>
        <v>43750</v>
      </c>
      <c r="P31" s="192">
        <v>0</v>
      </c>
      <c r="Q31" s="197" t="s">
        <v>138</v>
      </c>
      <c r="R31" s="193">
        <v>5</v>
      </c>
      <c r="S31" s="205">
        <v>0</v>
      </c>
      <c r="T31" s="206">
        <v>1</v>
      </c>
      <c r="U31" s="207">
        <v>5</v>
      </c>
      <c r="V31" s="208">
        <f>S31+T31</f>
        <v>1</v>
      </c>
      <c r="W31" s="209">
        <v>24</v>
      </c>
      <c r="X31" s="209">
        <v>22</v>
      </c>
      <c r="Y31" s="197">
        <v>70</v>
      </c>
      <c r="Z31" s="197" t="s">
        <v>200</v>
      </c>
      <c r="AA31" s="198"/>
      <c r="AB31" s="25" t="s">
        <v>500</v>
      </c>
    </row>
    <row r="32" spans="1:47" s="188" customFormat="1" ht="89.25">
      <c r="A32" s="210" t="s">
        <v>501</v>
      </c>
      <c r="B32" s="210" t="s">
        <v>502</v>
      </c>
      <c r="C32" s="211" t="s">
        <v>67</v>
      </c>
      <c r="D32" s="212" t="s">
        <v>71</v>
      </c>
      <c r="E32" s="210" t="s">
        <v>72</v>
      </c>
      <c r="F32" s="210" t="s">
        <v>503</v>
      </c>
      <c r="G32" s="210" t="s">
        <v>479</v>
      </c>
      <c r="H32" s="210" t="s">
        <v>504</v>
      </c>
      <c r="I32" s="210" t="s">
        <v>505</v>
      </c>
      <c r="J32" s="213" t="s">
        <v>29</v>
      </c>
      <c r="K32" s="213" t="s">
        <v>28</v>
      </c>
      <c r="L32" s="214">
        <v>1250500</v>
      </c>
      <c r="M32" s="215">
        <v>812825</v>
      </c>
      <c r="N32" s="215">
        <v>218837.5</v>
      </c>
      <c r="O32" s="215">
        <v>218837.5</v>
      </c>
      <c r="P32" s="215">
        <v>0</v>
      </c>
      <c r="Q32" s="210" t="s">
        <v>138</v>
      </c>
      <c r="R32" s="216">
        <v>39</v>
      </c>
      <c r="S32" s="217">
        <v>0</v>
      </c>
      <c r="T32" s="217">
        <v>1</v>
      </c>
      <c r="U32" s="216">
        <v>39</v>
      </c>
      <c r="V32" s="217">
        <v>1</v>
      </c>
      <c r="W32" s="200">
        <v>17</v>
      </c>
      <c r="X32" s="200">
        <v>18</v>
      </c>
      <c r="Y32" s="218">
        <v>60</v>
      </c>
      <c r="Z32" s="210" t="s">
        <v>200</v>
      </c>
      <c r="AA32" s="25"/>
      <c r="AB32" s="25" t="s">
        <v>506</v>
      </c>
      <c r="AC32" s="26"/>
      <c r="AD32" s="26"/>
      <c r="AE32" s="26"/>
      <c r="AF32" s="26"/>
      <c r="AG32" s="26"/>
      <c r="AH32" s="26"/>
      <c r="AI32" s="26"/>
      <c r="AJ32" s="26"/>
      <c r="AK32" s="26"/>
      <c r="AL32" s="26"/>
      <c r="AM32" s="26"/>
      <c r="AN32" s="26"/>
      <c r="AO32" s="26"/>
      <c r="AP32" s="26"/>
      <c r="AQ32" s="26"/>
      <c r="AR32" s="26"/>
      <c r="AS32" s="26"/>
      <c r="AT32" s="26"/>
      <c r="AU32" s="187"/>
    </row>
    <row r="33" spans="1:46" s="231" customFormat="1" ht="24" customHeight="1">
      <c r="A33" s="219"/>
      <c r="B33" s="410" t="s">
        <v>507</v>
      </c>
      <c r="C33" s="410"/>
      <c r="D33" s="410"/>
      <c r="E33" s="410"/>
      <c r="F33" s="410"/>
      <c r="G33" s="410"/>
      <c r="H33" s="410"/>
      <c r="I33" s="410"/>
      <c r="J33" s="220"/>
      <c r="K33" s="221"/>
      <c r="L33" s="222">
        <f>SUBTOTAL(9,L8:L32)</f>
        <v>47895600</v>
      </c>
      <c r="M33" s="222">
        <f>SUBTOTAL(9,M8:M32)</f>
        <v>31132140</v>
      </c>
      <c r="N33" s="222">
        <f>SUBTOTAL(9,N8:N32)</f>
        <v>8381730</v>
      </c>
      <c r="O33" s="222">
        <f>SUBTOTAL(9,O8:O32)</f>
        <v>8381730</v>
      </c>
      <c r="P33" s="222">
        <f>SUBTOTAL(9,P8:P32)</f>
        <v>0</v>
      </c>
      <c r="Q33" s="223"/>
      <c r="R33" s="224"/>
      <c r="S33" s="224"/>
      <c r="T33" s="225" t="s">
        <v>508</v>
      </c>
      <c r="U33" s="226">
        <f>SUBTOTAL(3,Q8:Q32)</f>
        <v>25</v>
      </c>
      <c r="V33" s="227"/>
      <c r="W33" s="226">
        <v>14233</v>
      </c>
      <c r="X33" s="226">
        <v>15144</v>
      </c>
      <c r="Y33" s="228"/>
      <c r="Z33" s="229"/>
      <c r="AA33" s="230"/>
      <c r="AB33" s="25"/>
      <c r="AC33" s="26"/>
      <c r="AD33" s="26"/>
      <c r="AE33" s="26"/>
      <c r="AF33" s="26"/>
      <c r="AG33" s="26"/>
      <c r="AH33" s="26"/>
      <c r="AI33" s="26"/>
      <c r="AJ33" s="26"/>
      <c r="AK33" s="26"/>
      <c r="AL33" s="26"/>
      <c r="AM33" s="26"/>
      <c r="AN33" s="26"/>
      <c r="AO33" s="26"/>
      <c r="AP33" s="26"/>
      <c r="AQ33" s="26"/>
      <c r="AR33" s="26"/>
      <c r="AS33" s="26"/>
      <c r="AT33" s="26"/>
    </row>
    <row r="34" spans="1:28" s="26" customFormat="1" ht="18.75" customHeight="1">
      <c r="A34" s="25"/>
      <c r="B34" s="232"/>
      <c r="C34" s="232"/>
      <c r="D34" s="232"/>
      <c r="E34" s="232"/>
      <c r="F34" s="232"/>
      <c r="G34" s="232"/>
      <c r="H34" s="232"/>
      <c r="I34" s="233"/>
      <c r="J34" s="106"/>
      <c r="K34" s="106"/>
      <c r="L34" s="234"/>
      <c r="M34" s="234"/>
      <c r="N34" s="234"/>
      <c r="O34" s="234"/>
      <c r="P34" s="234"/>
      <c r="Q34" s="93"/>
      <c r="R34" s="94"/>
      <c r="S34" s="94"/>
      <c r="T34" s="235"/>
      <c r="U34" s="236"/>
      <c r="V34" s="237"/>
      <c r="W34" s="236"/>
      <c r="X34" s="236"/>
      <c r="Y34" s="238"/>
      <c r="Z34" s="239"/>
      <c r="AA34" s="230"/>
      <c r="AB34" s="25"/>
    </row>
    <row r="35" spans="1:28" s="231" customFormat="1" ht="102">
      <c r="A35" s="240" t="s">
        <v>381</v>
      </c>
      <c r="B35" s="240" t="s">
        <v>509</v>
      </c>
      <c r="C35" s="240" t="s">
        <v>377</v>
      </c>
      <c r="D35" s="240" t="s">
        <v>378</v>
      </c>
      <c r="E35" s="240" t="s">
        <v>510</v>
      </c>
      <c r="F35" s="240" t="s">
        <v>511</v>
      </c>
      <c r="G35" s="240" t="s">
        <v>383</v>
      </c>
      <c r="H35" s="240" t="s">
        <v>384</v>
      </c>
      <c r="I35" s="240" t="s">
        <v>383</v>
      </c>
      <c r="J35" s="241" t="s">
        <v>29</v>
      </c>
      <c r="K35" s="241" t="s">
        <v>28</v>
      </c>
      <c r="L35" s="242">
        <f>ROUND((SUM(L8:L32)-L25-L26)*3%,2)</f>
        <v>1361868</v>
      </c>
      <c r="M35" s="242">
        <f>L35</f>
        <v>1361868</v>
      </c>
      <c r="N35" s="242">
        <v>0</v>
      </c>
      <c r="O35" s="242">
        <v>0</v>
      </c>
      <c r="P35" s="242">
        <v>0</v>
      </c>
      <c r="Q35" s="242" t="s">
        <v>388</v>
      </c>
      <c r="R35" s="243">
        <f>U33-2</f>
        <v>23</v>
      </c>
      <c r="S35" s="244">
        <v>1</v>
      </c>
      <c r="T35" s="244">
        <v>1</v>
      </c>
      <c r="U35" s="245">
        <f>R35</f>
        <v>23</v>
      </c>
      <c r="V35" s="244">
        <v>1</v>
      </c>
      <c r="W35" s="246"/>
      <c r="X35" s="246"/>
      <c r="Y35" s="246"/>
      <c r="Z35" s="240" t="s">
        <v>512</v>
      </c>
      <c r="AA35" s="25"/>
      <c r="AB35" s="247"/>
    </row>
    <row r="36" spans="1:46" s="259" customFormat="1" ht="24" customHeight="1">
      <c r="A36" s="248"/>
      <c r="B36" s="411" t="s">
        <v>513</v>
      </c>
      <c r="C36" s="411"/>
      <c r="D36" s="411"/>
      <c r="E36" s="411"/>
      <c r="F36" s="411"/>
      <c r="G36" s="411"/>
      <c r="H36" s="411"/>
      <c r="I36" s="411"/>
      <c r="J36" s="249"/>
      <c r="K36" s="249"/>
      <c r="L36" s="250">
        <f>SUM(L35,L33)</f>
        <v>49257468</v>
      </c>
      <c r="M36" s="250">
        <f>SUM(M35,M33)</f>
        <v>32494008</v>
      </c>
      <c r="N36" s="250">
        <f>SUM(N35,N33)</f>
        <v>8381730</v>
      </c>
      <c r="O36" s="250">
        <f>SUM(O35,O33)</f>
        <v>8381730</v>
      </c>
      <c r="P36" s="250">
        <f>SUM(P35,P33)</f>
        <v>0</v>
      </c>
      <c r="Q36" s="251"/>
      <c r="R36" s="252"/>
      <c r="S36" s="252"/>
      <c r="T36" s="253"/>
      <c r="U36" s="254"/>
      <c r="V36" s="255"/>
      <c r="W36" s="254"/>
      <c r="X36" s="254"/>
      <c r="Y36" s="256"/>
      <c r="Z36" s="257"/>
      <c r="AA36" s="230"/>
      <c r="AB36" s="258"/>
      <c r="AC36" s="94"/>
      <c r="AD36" s="94"/>
      <c r="AE36" s="94"/>
      <c r="AF36" s="94"/>
      <c r="AG36" s="94"/>
      <c r="AH36" s="94"/>
      <c r="AI36" s="94"/>
      <c r="AJ36" s="94"/>
      <c r="AK36" s="94"/>
      <c r="AL36" s="94"/>
      <c r="AM36" s="94"/>
      <c r="AN36" s="94"/>
      <c r="AO36" s="94"/>
      <c r="AP36" s="94"/>
      <c r="AQ36" s="94"/>
      <c r="AR36" s="94"/>
      <c r="AS36" s="94"/>
      <c r="AT36" s="94"/>
    </row>
    <row r="37" spans="1:28" s="26" customFormat="1" ht="30" customHeight="1">
      <c r="A37" s="260"/>
      <c r="B37" s="260"/>
      <c r="C37" s="260"/>
      <c r="D37" s="261"/>
      <c r="E37" s="260"/>
      <c r="F37" s="260"/>
      <c r="G37" s="260"/>
      <c r="H37" s="260"/>
      <c r="I37" s="260"/>
      <c r="J37" s="262"/>
      <c r="K37" s="262"/>
      <c r="L37" s="263"/>
      <c r="M37" s="263"/>
      <c r="N37" s="263"/>
      <c r="O37" s="263"/>
      <c r="P37" s="263"/>
      <c r="Q37" s="260"/>
      <c r="R37" s="264"/>
      <c r="S37" s="265"/>
      <c r="T37" s="265"/>
      <c r="U37" s="266"/>
      <c r="V37" s="265"/>
      <c r="W37" s="267"/>
      <c r="X37" s="267"/>
      <c r="Y37" s="268"/>
      <c r="Z37" s="260"/>
      <c r="AA37" s="25"/>
      <c r="AB37" s="25"/>
    </row>
    <row r="38" spans="1:46" s="273" customFormat="1" ht="11.25">
      <c r="A38" s="269"/>
      <c r="B38" s="412"/>
      <c r="C38" s="412"/>
      <c r="D38" s="412"/>
      <c r="E38" s="412"/>
      <c r="F38" s="412"/>
      <c r="G38" s="412"/>
      <c r="H38" s="412"/>
      <c r="I38" s="412"/>
      <c r="J38" s="412"/>
      <c r="K38" s="412"/>
      <c r="L38" s="412"/>
      <c r="M38" s="412"/>
      <c r="N38" s="412"/>
      <c r="O38" s="412"/>
      <c r="P38" s="412"/>
      <c r="Q38" s="412"/>
      <c r="R38" s="412"/>
      <c r="S38" s="412"/>
      <c r="T38" s="412"/>
      <c r="U38" s="412"/>
      <c r="V38" s="412"/>
      <c r="W38" s="412"/>
      <c r="X38" s="412"/>
      <c r="Y38" s="412"/>
      <c r="Z38" s="412"/>
      <c r="AA38" s="270"/>
      <c r="AB38" s="271"/>
      <c r="AC38" s="272"/>
      <c r="AD38" s="272"/>
      <c r="AE38" s="272"/>
      <c r="AF38" s="272"/>
      <c r="AG38" s="272"/>
      <c r="AH38" s="272"/>
      <c r="AI38" s="272"/>
      <c r="AJ38" s="272"/>
      <c r="AK38" s="272"/>
      <c r="AL38" s="272"/>
      <c r="AM38" s="272"/>
      <c r="AN38" s="272"/>
      <c r="AO38" s="272"/>
      <c r="AP38" s="272"/>
      <c r="AQ38" s="272"/>
      <c r="AR38" s="272"/>
      <c r="AS38" s="272"/>
      <c r="AT38" s="272"/>
    </row>
    <row r="39" spans="2:27" ht="11.25">
      <c r="B39" s="412"/>
      <c r="C39" s="412"/>
      <c r="D39" s="412"/>
      <c r="E39" s="412"/>
      <c r="F39" s="412"/>
      <c r="G39" s="412"/>
      <c r="H39" s="412"/>
      <c r="I39" s="412"/>
      <c r="J39" s="412"/>
      <c r="K39" s="412"/>
      <c r="L39" s="412"/>
      <c r="M39" s="412"/>
      <c r="N39" s="412"/>
      <c r="O39" s="412"/>
      <c r="P39" s="412"/>
      <c r="Q39" s="412"/>
      <c r="R39" s="412"/>
      <c r="S39" s="412"/>
      <c r="T39" s="412"/>
      <c r="U39" s="412"/>
      <c r="V39" s="412"/>
      <c r="W39" s="412"/>
      <c r="X39" s="412"/>
      <c r="Y39" s="412"/>
      <c r="Z39" s="412"/>
      <c r="AA39" s="270"/>
    </row>
    <row r="40" spans="12:15" ht="11.25">
      <c r="L40" s="4"/>
      <c r="M40" s="6"/>
      <c r="N40" s="6"/>
      <c r="O40" s="6"/>
    </row>
    <row r="41" spans="1:46" s="277" customFormat="1" ht="18">
      <c r="A41" s="274"/>
      <c r="B41" s="275"/>
      <c r="C41" s="275"/>
      <c r="D41" s="276"/>
      <c r="E41" s="275"/>
      <c r="L41" s="278"/>
      <c r="M41" s="278"/>
      <c r="R41" s="279"/>
      <c r="S41" s="280"/>
      <c r="U41" s="279"/>
      <c r="AB41" s="281"/>
      <c r="AC41" s="282"/>
      <c r="AD41" s="282"/>
      <c r="AE41" s="282"/>
      <c r="AF41" s="282"/>
      <c r="AG41" s="282"/>
      <c r="AH41" s="282"/>
      <c r="AI41" s="282"/>
      <c r="AJ41" s="282"/>
      <c r="AK41" s="282"/>
      <c r="AL41" s="282"/>
      <c r="AM41" s="282"/>
      <c r="AN41" s="282"/>
      <c r="AO41" s="282"/>
      <c r="AP41" s="282"/>
      <c r="AQ41" s="282"/>
      <c r="AR41" s="282"/>
      <c r="AS41" s="282"/>
      <c r="AT41" s="282"/>
    </row>
    <row r="42" spans="1:207" ht="12.75">
      <c r="A42" s="283"/>
      <c r="B42" s="271"/>
      <c r="C42" s="283"/>
      <c r="D42" s="283"/>
      <c r="E42" s="283"/>
      <c r="F42" s="284"/>
      <c r="G42" s="285"/>
      <c r="H42" s="286"/>
      <c r="I42" s="287"/>
      <c r="J42" s="283"/>
      <c r="K42" s="288"/>
      <c r="L42" s="289"/>
      <c r="M42" s="290"/>
      <c r="N42" s="284"/>
      <c r="O42" s="291"/>
      <c r="P42" s="291"/>
      <c r="Q42" s="291"/>
      <c r="R42" s="291"/>
      <c r="S42" s="291"/>
      <c r="T42" s="292"/>
      <c r="U42" s="293"/>
      <c r="V42" s="294"/>
      <c r="W42" s="294"/>
      <c r="X42" s="293"/>
      <c r="Y42" s="294"/>
      <c r="Z42" s="295"/>
      <c r="AA42" s="295"/>
      <c r="AB42" s="296"/>
      <c r="AC42" s="297"/>
      <c r="AD42" s="297"/>
      <c r="AE42" s="297"/>
      <c r="AF42" s="297"/>
      <c r="AG42" s="297"/>
      <c r="AH42" s="297"/>
      <c r="AI42" s="297"/>
      <c r="AJ42" s="297"/>
      <c r="AK42" s="297"/>
      <c r="AL42" s="297"/>
      <c r="AM42" s="297"/>
      <c r="AN42" s="297"/>
      <c r="AO42" s="297"/>
      <c r="AP42" s="297"/>
      <c r="AQ42" s="297"/>
      <c r="AR42" s="297"/>
      <c r="AS42" s="297"/>
      <c r="AT42" s="297"/>
      <c r="AU42" s="297"/>
      <c r="AV42" s="297"/>
      <c r="AW42" s="297"/>
      <c r="AX42" s="297"/>
      <c r="AY42" s="297"/>
      <c r="AZ42" s="297"/>
      <c r="BA42" s="297"/>
      <c r="BB42" s="297"/>
      <c r="BC42" s="297"/>
      <c r="BD42" s="297"/>
      <c r="BE42" s="297"/>
      <c r="BF42" s="297"/>
      <c r="BG42" s="297"/>
      <c r="BH42" s="297"/>
      <c r="BI42" s="297"/>
      <c r="BJ42" s="297"/>
      <c r="BK42" s="297"/>
      <c r="BL42" s="297"/>
      <c r="BM42" s="297"/>
      <c r="BN42" s="297"/>
      <c r="BO42" s="297"/>
      <c r="BP42" s="297"/>
      <c r="BQ42" s="297"/>
      <c r="BR42" s="297"/>
      <c r="BS42" s="297"/>
      <c r="BT42" s="297"/>
      <c r="BU42" s="297"/>
      <c r="BV42" s="297"/>
      <c r="BW42" s="297"/>
      <c r="BX42" s="297"/>
      <c r="BY42" s="297"/>
      <c r="BZ42" s="297"/>
      <c r="CA42" s="297"/>
      <c r="CB42" s="297"/>
      <c r="CC42" s="297"/>
      <c r="CD42" s="297"/>
      <c r="CE42" s="297"/>
      <c r="CF42" s="297"/>
      <c r="CG42" s="297"/>
      <c r="CH42" s="297"/>
      <c r="CI42" s="297"/>
      <c r="CJ42" s="297"/>
      <c r="CK42" s="297"/>
      <c r="CL42" s="297"/>
      <c r="CM42" s="297"/>
      <c r="CN42" s="297"/>
      <c r="CO42" s="297"/>
      <c r="CP42" s="297"/>
      <c r="CQ42" s="297"/>
      <c r="CR42" s="297"/>
      <c r="CS42" s="297"/>
      <c r="CT42" s="297"/>
      <c r="CU42" s="297"/>
      <c r="CV42" s="297"/>
      <c r="CW42" s="297"/>
      <c r="CX42" s="297"/>
      <c r="CY42" s="297"/>
      <c r="CZ42" s="297"/>
      <c r="DA42" s="297"/>
      <c r="DB42" s="297"/>
      <c r="DC42" s="297"/>
      <c r="DD42" s="297"/>
      <c r="DE42" s="297"/>
      <c r="DF42" s="297"/>
      <c r="DG42" s="297"/>
      <c r="DH42" s="297"/>
      <c r="DI42" s="297"/>
      <c r="DJ42" s="297"/>
      <c r="DK42" s="297"/>
      <c r="DL42" s="297"/>
      <c r="DM42" s="297"/>
      <c r="DN42" s="297"/>
      <c r="DO42" s="297"/>
      <c r="DP42" s="297"/>
      <c r="DQ42" s="297"/>
      <c r="DR42" s="297"/>
      <c r="DS42" s="297"/>
      <c r="DT42" s="297"/>
      <c r="DU42" s="297"/>
      <c r="DV42" s="297"/>
      <c r="DW42" s="297"/>
      <c r="DX42" s="297"/>
      <c r="DY42" s="297"/>
      <c r="DZ42" s="297"/>
      <c r="EA42" s="297"/>
      <c r="EB42" s="297"/>
      <c r="EC42" s="297"/>
      <c r="ED42" s="297"/>
      <c r="EE42" s="297"/>
      <c r="EF42" s="297"/>
      <c r="EG42" s="297"/>
      <c r="EH42" s="297"/>
      <c r="EI42" s="297"/>
      <c r="EJ42" s="297"/>
      <c r="EK42" s="297"/>
      <c r="EL42" s="297"/>
      <c r="EM42" s="297"/>
      <c r="EN42" s="297"/>
      <c r="EO42" s="297"/>
      <c r="EP42" s="297"/>
      <c r="EQ42" s="297"/>
      <c r="ER42" s="297"/>
      <c r="ES42" s="297"/>
      <c r="ET42" s="297"/>
      <c r="EU42" s="297"/>
      <c r="EV42" s="297"/>
      <c r="EW42" s="297"/>
      <c r="EX42" s="297"/>
      <c r="EY42" s="297"/>
      <c r="EZ42" s="297"/>
      <c r="FA42" s="297"/>
      <c r="FB42" s="297"/>
      <c r="FC42" s="297"/>
      <c r="FD42" s="297"/>
      <c r="FE42" s="297"/>
      <c r="FF42" s="297"/>
      <c r="FG42" s="297"/>
      <c r="FH42" s="297"/>
      <c r="FI42" s="297"/>
      <c r="FJ42" s="297"/>
      <c r="FK42" s="297"/>
      <c r="FL42" s="297"/>
      <c r="FM42" s="297"/>
      <c r="FN42" s="297"/>
      <c r="FO42" s="297"/>
      <c r="FP42" s="297"/>
      <c r="FQ42" s="297"/>
      <c r="FR42" s="297"/>
      <c r="FS42" s="297"/>
      <c r="FT42" s="297"/>
      <c r="FU42" s="297"/>
      <c r="FV42" s="297"/>
      <c r="FW42" s="297"/>
      <c r="FX42" s="297"/>
      <c r="FY42" s="297"/>
      <c r="FZ42" s="297"/>
      <c r="GA42" s="297"/>
      <c r="GB42" s="297"/>
      <c r="GC42" s="297"/>
      <c r="GD42" s="297"/>
      <c r="GE42" s="297"/>
      <c r="GF42" s="297"/>
      <c r="GG42" s="297"/>
      <c r="GH42" s="297"/>
      <c r="GI42" s="297"/>
      <c r="GJ42" s="297"/>
      <c r="GK42" s="297"/>
      <c r="GL42" s="297"/>
      <c r="GM42" s="297"/>
      <c r="GN42" s="297"/>
      <c r="GO42" s="297"/>
      <c r="GP42" s="297"/>
      <c r="GQ42" s="297"/>
      <c r="GR42" s="297"/>
      <c r="GS42" s="297"/>
      <c r="GT42" s="297"/>
      <c r="GU42" s="297"/>
      <c r="GV42" s="297"/>
      <c r="GW42" s="297"/>
      <c r="GX42" s="297"/>
      <c r="GY42" s="297"/>
    </row>
    <row r="43" spans="1:207" s="309" customFormat="1" ht="12.75">
      <c r="A43" s="133"/>
      <c r="B43" s="133"/>
      <c r="C43" s="133"/>
      <c r="D43" s="133"/>
      <c r="E43" s="133"/>
      <c r="F43" s="298"/>
      <c r="G43" s="299"/>
      <c r="H43" s="300"/>
      <c r="I43" s="301"/>
      <c r="J43" s="133"/>
      <c r="K43" s="302"/>
      <c r="L43" s="303"/>
      <c r="M43" s="298"/>
      <c r="N43" s="298"/>
      <c r="O43" s="304"/>
      <c r="P43" s="304"/>
      <c r="Q43" s="304"/>
      <c r="R43" s="304"/>
      <c r="S43" s="304"/>
      <c r="T43" s="305"/>
      <c r="U43" s="306"/>
      <c r="V43" s="307"/>
      <c r="W43" s="307"/>
      <c r="X43" s="306"/>
      <c r="Y43" s="307"/>
      <c r="Z43" s="308"/>
      <c r="AA43" s="308"/>
      <c r="AB43" s="296"/>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c r="BT43" s="47"/>
      <c r="BU43" s="47"/>
      <c r="BV43" s="47"/>
      <c r="BW43" s="47"/>
      <c r="BX43" s="47"/>
      <c r="BY43" s="47"/>
      <c r="BZ43" s="47"/>
      <c r="CA43" s="47"/>
      <c r="CB43" s="47"/>
      <c r="CC43" s="47"/>
      <c r="CD43" s="47"/>
      <c r="CE43" s="47"/>
      <c r="CF43" s="47"/>
      <c r="CG43" s="47"/>
      <c r="CH43" s="47"/>
      <c r="CI43" s="47"/>
      <c r="CJ43" s="47"/>
      <c r="CK43" s="47"/>
      <c r="CL43" s="47"/>
      <c r="CM43" s="47"/>
      <c r="CN43" s="47"/>
      <c r="CO43" s="47"/>
      <c r="CP43" s="47"/>
      <c r="CQ43" s="47"/>
      <c r="CR43" s="47"/>
      <c r="CS43" s="47"/>
      <c r="CT43" s="47"/>
      <c r="CU43" s="47"/>
      <c r="CV43" s="47"/>
      <c r="CW43" s="47"/>
      <c r="CX43" s="47"/>
      <c r="CY43" s="47"/>
      <c r="CZ43" s="47"/>
      <c r="DA43" s="47"/>
      <c r="DB43" s="47"/>
      <c r="DC43" s="47"/>
      <c r="DD43" s="47"/>
      <c r="DE43" s="47"/>
      <c r="DF43" s="47"/>
      <c r="DG43" s="47"/>
      <c r="DH43" s="47"/>
      <c r="DI43" s="47"/>
      <c r="DJ43" s="47"/>
      <c r="DK43" s="47"/>
      <c r="DL43" s="47"/>
      <c r="DM43" s="47"/>
      <c r="DN43" s="47"/>
      <c r="DO43" s="47"/>
      <c r="DP43" s="47"/>
      <c r="DQ43" s="47"/>
      <c r="DR43" s="47"/>
      <c r="DS43" s="47"/>
      <c r="DT43" s="47"/>
      <c r="DU43" s="47"/>
      <c r="DV43" s="47"/>
      <c r="DW43" s="47"/>
      <c r="DX43" s="47"/>
      <c r="DY43" s="47"/>
      <c r="DZ43" s="47"/>
      <c r="EA43" s="47"/>
      <c r="EB43" s="47"/>
      <c r="EC43" s="47"/>
      <c r="ED43" s="47"/>
      <c r="EE43" s="47"/>
      <c r="EF43" s="47"/>
      <c r="EG43" s="47"/>
      <c r="EH43" s="47"/>
      <c r="EI43" s="47"/>
      <c r="EJ43" s="47"/>
      <c r="EK43" s="47"/>
      <c r="EL43" s="47"/>
      <c r="EM43" s="47"/>
      <c r="EN43" s="47"/>
      <c r="EO43" s="47"/>
      <c r="EP43" s="47"/>
      <c r="EQ43" s="47"/>
      <c r="ER43" s="47"/>
      <c r="ES43" s="47"/>
      <c r="ET43" s="47"/>
      <c r="EU43" s="47"/>
      <c r="EV43" s="47"/>
      <c r="EW43" s="47"/>
      <c r="EX43" s="47"/>
      <c r="EY43" s="47"/>
      <c r="EZ43" s="47"/>
      <c r="FA43" s="47"/>
      <c r="FB43" s="47"/>
      <c r="FC43" s="47"/>
      <c r="FD43" s="47"/>
      <c r="FE43" s="47"/>
      <c r="FF43" s="47"/>
      <c r="FG43" s="47"/>
      <c r="FH43" s="47"/>
      <c r="FI43" s="47"/>
      <c r="FJ43" s="47"/>
      <c r="FK43" s="47"/>
      <c r="FL43" s="47"/>
      <c r="FM43" s="47"/>
      <c r="FN43" s="47"/>
      <c r="FO43" s="47"/>
      <c r="FP43" s="47"/>
      <c r="FQ43" s="47"/>
      <c r="FR43" s="47"/>
      <c r="FS43" s="47"/>
      <c r="FT43" s="47"/>
      <c r="FU43" s="47"/>
      <c r="FV43" s="47"/>
      <c r="FW43" s="47"/>
      <c r="FX43" s="47"/>
      <c r="FY43" s="47"/>
      <c r="FZ43" s="47"/>
      <c r="GA43" s="47"/>
      <c r="GB43" s="47"/>
      <c r="GC43" s="47"/>
      <c r="GD43" s="47"/>
      <c r="GE43" s="47"/>
      <c r="GF43" s="47"/>
      <c r="GG43" s="47"/>
      <c r="GH43" s="47"/>
      <c r="GI43" s="47"/>
      <c r="GJ43" s="47"/>
      <c r="GK43" s="47"/>
      <c r="GL43" s="47"/>
      <c r="GM43" s="47"/>
      <c r="GN43" s="47"/>
      <c r="GO43" s="47"/>
      <c r="GP43" s="47"/>
      <c r="GQ43" s="47"/>
      <c r="GR43" s="47"/>
      <c r="GS43" s="47"/>
      <c r="GT43" s="47"/>
      <c r="GU43" s="47"/>
      <c r="GV43" s="47"/>
      <c r="GW43" s="47"/>
      <c r="GX43" s="47"/>
      <c r="GY43" s="47"/>
    </row>
    <row r="44" spans="1:207" s="309" customFormat="1" ht="12.75">
      <c r="A44" s="133"/>
      <c r="B44" s="133"/>
      <c r="C44" s="133"/>
      <c r="D44" s="133"/>
      <c r="E44" s="133"/>
      <c r="F44" s="298"/>
      <c r="G44" s="299"/>
      <c r="H44" s="300"/>
      <c r="I44" s="301"/>
      <c r="J44" s="133"/>
      <c r="K44" s="302"/>
      <c r="L44" s="310" t="s">
        <v>8</v>
      </c>
      <c r="M44" s="311">
        <f>N44/L33</f>
        <v>0.65</v>
      </c>
      <c r="N44" s="312">
        <f>M33</f>
        <v>31132140</v>
      </c>
      <c r="O44" s="313"/>
      <c r="P44" s="304"/>
      <c r="Q44" s="304"/>
      <c r="R44" s="304"/>
      <c r="S44" s="304"/>
      <c r="T44" s="305"/>
      <c r="U44" s="306"/>
      <c r="V44" s="307"/>
      <c r="W44" s="307"/>
      <c r="X44" s="306"/>
      <c r="Y44" s="307"/>
      <c r="Z44" s="308"/>
      <c r="AA44" s="308"/>
      <c r="AB44" s="296"/>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7"/>
      <c r="BR44" s="47"/>
      <c r="BS44" s="47"/>
      <c r="BT44" s="47"/>
      <c r="BU44" s="47"/>
      <c r="BV44" s="47"/>
      <c r="BW44" s="47"/>
      <c r="BX44" s="47"/>
      <c r="BY44" s="47"/>
      <c r="BZ44" s="47"/>
      <c r="CA44" s="47"/>
      <c r="CB44" s="47"/>
      <c r="CC44" s="47"/>
      <c r="CD44" s="47"/>
      <c r="CE44" s="47"/>
      <c r="CF44" s="47"/>
      <c r="CG44" s="47"/>
      <c r="CH44" s="47"/>
      <c r="CI44" s="47"/>
      <c r="CJ44" s="47"/>
      <c r="CK44" s="47"/>
      <c r="CL44" s="47"/>
      <c r="CM44" s="47"/>
      <c r="CN44" s="47"/>
      <c r="CO44" s="47"/>
      <c r="CP44" s="47"/>
      <c r="CQ44" s="47"/>
      <c r="CR44" s="47"/>
      <c r="CS44" s="47"/>
      <c r="CT44" s="47"/>
      <c r="CU44" s="47"/>
      <c r="CV44" s="47"/>
      <c r="CW44" s="47"/>
      <c r="CX44" s="47"/>
      <c r="CY44" s="47"/>
      <c r="CZ44" s="47"/>
      <c r="DA44" s="47"/>
      <c r="DB44" s="47"/>
      <c r="DC44" s="47"/>
      <c r="DD44" s="47"/>
      <c r="DE44" s="47"/>
      <c r="DF44" s="47"/>
      <c r="DG44" s="47"/>
      <c r="DH44" s="47"/>
      <c r="DI44" s="47"/>
      <c r="DJ44" s="47"/>
      <c r="DK44" s="47"/>
      <c r="DL44" s="47"/>
      <c r="DM44" s="47"/>
      <c r="DN44" s="47"/>
      <c r="DO44" s="47"/>
      <c r="DP44" s="47"/>
      <c r="DQ44" s="47"/>
      <c r="DR44" s="47"/>
      <c r="DS44" s="47"/>
      <c r="DT44" s="47"/>
      <c r="DU44" s="47"/>
      <c r="DV44" s="47"/>
      <c r="DW44" s="47"/>
      <c r="DX44" s="47"/>
      <c r="DY44" s="47"/>
      <c r="DZ44" s="47"/>
      <c r="EA44" s="47"/>
      <c r="EB44" s="47"/>
      <c r="EC44" s="47"/>
      <c r="ED44" s="47"/>
      <c r="EE44" s="47"/>
      <c r="EF44" s="47"/>
      <c r="EG44" s="47"/>
      <c r="EH44" s="47"/>
      <c r="EI44" s="47"/>
      <c r="EJ44" s="47"/>
      <c r="EK44" s="47"/>
      <c r="EL44" s="47"/>
      <c r="EM44" s="47"/>
      <c r="EN44" s="47"/>
      <c r="EO44" s="47"/>
      <c r="EP44" s="47"/>
      <c r="EQ44" s="47"/>
      <c r="ER44" s="47"/>
      <c r="ES44" s="47"/>
      <c r="ET44" s="47"/>
      <c r="EU44" s="47"/>
      <c r="EV44" s="47"/>
      <c r="EW44" s="47"/>
      <c r="EX44" s="47"/>
      <c r="EY44" s="47"/>
      <c r="EZ44" s="47"/>
      <c r="FA44" s="47"/>
      <c r="FB44" s="47"/>
      <c r="FC44" s="47"/>
      <c r="FD44" s="47"/>
      <c r="FE44" s="47"/>
      <c r="FF44" s="47"/>
      <c r="FG44" s="47"/>
      <c r="FH44" s="47"/>
      <c r="FI44" s="47"/>
      <c r="FJ44" s="47"/>
      <c r="FK44" s="47"/>
      <c r="FL44" s="47"/>
      <c r="FM44" s="47"/>
      <c r="FN44" s="47"/>
      <c r="FO44" s="47"/>
      <c r="FP44" s="47"/>
      <c r="FQ44" s="47"/>
      <c r="FR44" s="47"/>
      <c r="FS44" s="47"/>
      <c r="FT44" s="47"/>
      <c r="FU44" s="47"/>
      <c r="FV44" s="47"/>
      <c r="FW44" s="47"/>
      <c r="FX44" s="47"/>
      <c r="FY44" s="47"/>
      <c r="FZ44" s="47"/>
      <c r="GA44" s="47"/>
      <c r="GB44" s="47"/>
      <c r="GC44" s="47"/>
      <c r="GD44" s="47"/>
      <c r="GE44" s="47"/>
      <c r="GF44" s="47"/>
      <c r="GG44" s="47"/>
      <c r="GH44" s="47"/>
      <c r="GI44" s="47"/>
      <c r="GJ44" s="47"/>
      <c r="GK44" s="47"/>
      <c r="GL44" s="47"/>
      <c r="GM44" s="47"/>
      <c r="GN44" s="47"/>
      <c r="GO44" s="47"/>
      <c r="GP44" s="47"/>
      <c r="GQ44" s="47"/>
      <c r="GR44" s="47"/>
      <c r="GS44" s="47"/>
      <c r="GT44" s="47"/>
      <c r="GU44" s="47"/>
      <c r="GV44" s="47"/>
      <c r="GW44" s="47"/>
      <c r="GX44" s="47"/>
      <c r="GY44" s="47"/>
    </row>
    <row r="45" spans="1:207" s="309" customFormat="1" ht="12.75">
      <c r="A45" s="133"/>
      <c r="B45" s="133"/>
      <c r="C45" s="133"/>
      <c r="D45" s="133"/>
      <c r="E45" s="133"/>
      <c r="F45" s="298"/>
      <c r="G45" s="299"/>
      <c r="H45" s="300"/>
      <c r="I45" s="301"/>
      <c r="J45" s="133"/>
      <c r="K45" s="302"/>
      <c r="L45" s="310" t="s">
        <v>514</v>
      </c>
      <c r="M45" s="311">
        <f>N45/L33</f>
        <v>0.35</v>
      </c>
      <c r="N45" s="312">
        <f>SUM(N33:P33)</f>
        <v>16763460</v>
      </c>
      <c r="O45" s="314"/>
      <c r="P45" s="304"/>
      <c r="Q45" s="304"/>
      <c r="R45" s="304"/>
      <c r="S45" s="304"/>
      <c r="T45" s="305"/>
      <c r="U45" s="306"/>
      <c r="V45" s="307"/>
      <c r="W45" s="307"/>
      <c r="X45" s="306"/>
      <c r="Y45" s="307"/>
      <c r="Z45" s="308"/>
      <c r="AA45" s="308"/>
      <c r="AB45" s="296"/>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7"/>
      <c r="BR45" s="47"/>
      <c r="BS45" s="47"/>
      <c r="BT45" s="47"/>
      <c r="BU45" s="47"/>
      <c r="BV45" s="47"/>
      <c r="BW45" s="47"/>
      <c r="BX45" s="47"/>
      <c r="BY45" s="47"/>
      <c r="BZ45" s="47"/>
      <c r="CA45" s="47"/>
      <c r="CB45" s="47"/>
      <c r="CC45" s="47"/>
      <c r="CD45" s="47"/>
      <c r="CE45" s="47"/>
      <c r="CF45" s="47"/>
      <c r="CG45" s="47"/>
      <c r="CH45" s="47"/>
      <c r="CI45" s="47"/>
      <c r="CJ45" s="47"/>
      <c r="CK45" s="47"/>
      <c r="CL45" s="47"/>
      <c r="CM45" s="47"/>
      <c r="CN45" s="47"/>
      <c r="CO45" s="47"/>
      <c r="CP45" s="47"/>
      <c r="CQ45" s="47"/>
      <c r="CR45" s="47"/>
      <c r="CS45" s="47"/>
      <c r="CT45" s="47"/>
      <c r="CU45" s="47"/>
      <c r="CV45" s="47"/>
      <c r="CW45" s="47"/>
      <c r="CX45" s="47"/>
      <c r="CY45" s="47"/>
      <c r="CZ45" s="47"/>
      <c r="DA45" s="47"/>
      <c r="DB45" s="47"/>
      <c r="DC45" s="47"/>
      <c r="DD45" s="47"/>
      <c r="DE45" s="47"/>
      <c r="DF45" s="47"/>
      <c r="DG45" s="47"/>
      <c r="DH45" s="47"/>
      <c r="DI45" s="47"/>
      <c r="DJ45" s="47"/>
      <c r="DK45" s="47"/>
      <c r="DL45" s="47"/>
      <c r="DM45" s="47"/>
      <c r="DN45" s="47"/>
      <c r="DO45" s="47"/>
      <c r="DP45" s="47"/>
      <c r="DQ45" s="47"/>
      <c r="DR45" s="47"/>
      <c r="DS45" s="47"/>
      <c r="DT45" s="47"/>
      <c r="DU45" s="47"/>
      <c r="DV45" s="47"/>
      <c r="DW45" s="47"/>
      <c r="DX45" s="47"/>
      <c r="DY45" s="47"/>
      <c r="DZ45" s="47"/>
      <c r="EA45" s="47"/>
      <c r="EB45" s="47"/>
      <c r="EC45" s="47"/>
      <c r="ED45" s="47"/>
      <c r="EE45" s="47"/>
      <c r="EF45" s="47"/>
      <c r="EG45" s="47"/>
      <c r="EH45" s="47"/>
      <c r="EI45" s="47"/>
      <c r="EJ45" s="47"/>
      <c r="EK45" s="47"/>
      <c r="EL45" s="47"/>
      <c r="EM45" s="47"/>
      <c r="EN45" s="47"/>
      <c r="EO45" s="47"/>
      <c r="EP45" s="47"/>
      <c r="EQ45" s="47"/>
      <c r="ER45" s="47"/>
      <c r="ES45" s="47"/>
      <c r="ET45" s="47"/>
      <c r="EU45" s="47"/>
      <c r="EV45" s="47"/>
      <c r="EW45" s="47"/>
      <c r="EX45" s="47"/>
      <c r="EY45" s="47"/>
      <c r="EZ45" s="47"/>
      <c r="FA45" s="47"/>
      <c r="FB45" s="47"/>
      <c r="FC45" s="47"/>
      <c r="FD45" s="47"/>
      <c r="FE45" s="47"/>
      <c r="FF45" s="47"/>
      <c r="FG45" s="47"/>
      <c r="FH45" s="47"/>
      <c r="FI45" s="47"/>
      <c r="FJ45" s="47"/>
      <c r="FK45" s="47"/>
      <c r="FL45" s="47"/>
      <c r="FM45" s="47"/>
      <c r="FN45" s="47"/>
      <c r="FO45" s="47"/>
      <c r="FP45" s="47"/>
      <c r="FQ45" s="47"/>
      <c r="FR45" s="47"/>
      <c r="FS45" s="47"/>
      <c r="FT45" s="47"/>
      <c r="FU45" s="47"/>
      <c r="FV45" s="47"/>
      <c r="FW45" s="47"/>
      <c r="FX45" s="47"/>
      <c r="FY45" s="47"/>
      <c r="FZ45" s="47"/>
      <c r="GA45" s="47"/>
      <c r="GB45" s="47"/>
      <c r="GC45" s="47"/>
      <c r="GD45" s="47"/>
      <c r="GE45" s="47"/>
      <c r="GF45" s="47"/>
      <c r="GG45" s="47"/>
      <c r="GH45" s="47"/>
      <c r="GI45" s="47"/>
      <c r="GJ45" s="47"/>
      <c r="GK45" s="47"/>
      <c r="GL45" s="47"/>
      <c r="GM45" s="47"/>
      <c r="GN45" s="47"/>
      <c r="GO45" s="47"/>
      <c r="GP45" s="47"/>
      <c r="GQ45" s="47"/>
      <c r="GR45" s="47"/>
      <c r="GS45" s="47"/>
      <c r="GT45" s="47"/>
      <c r="GU45" s="47"/>
      <c r="GV45" s="47"/>
      <c r="GW45" s="47"/>
      <c r="GX45" s="47"/>
      <c r="GY45" s="47"/>
    </row>
    <row r="46" spans="1:207" s="309" customFormat="1" ht="12.75">
      <c r="A46" s="133"/>
      <c r="B46" s="133"/>
      <c r="C46" s="133"/>
      <c r="D46" s="133"/>
      <c r="E46" s="133"/>
      <c r="F46" s="298"/>
      <c r="G46" s="299"/>
      <c r="H46" s="300"/>
      <c r="I46" s="301"/>
      <c r="J46" s="133"/>
      <c r="K46" s="302"/>
      <c r="L46" s="315" t="s">
        <v>515</v>
      </c>
      <c r="M46" s="310"/>
      <c r="N46" s="310"/>
      <c r="O46" s="310"/>
      <c r="P46" s="304"/>
      <c r="Q46" s="304"/>
      <c r="R46" s="304"/>
      <c r="S46" s="304"/>
      <c r="T46" s="305"/>
      <c r="U46" s="306"/>
      <c r="V46" s="307"/>
      <c r="W46" s="307"/>
      <c r="X46" s="306"/>
      <c r="Y46" s="307"/>
      <c r="Z46" s="308"/>
      <c r="AA46" s="308"/>
      <c r="AB46" s="296"/>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7"/>
      <c r="BR46" s="47"/>
      <c r="BS46" s="47"/>
      <c r="BT46" s="47"/>
      <c r="BU46" s="47"/>
      <c r="BV46" s="47"/>
      <c r="BW46" s="47"/>
      <c r="BX46" s="47"/>
      <c r="BY46" s="47"/>
      <c r="BZ46" s="47"/>
      <c r="CA46" s="47"/>
      <c r="CB46" s="47"/>
      <c r="CC46" s="47"/>
      <c r="CD46" s="47"/>
      <c r="CE46" s="47"/>
      <c r="CF46" s="47"/>
      <c r="CG46" s="47"/>
      <c r="CH46" s="47"/>
      <c r="CI46" s="47"/>
      <c r="CJ46" s="47"/>
      <c r="CK46" s="47"/>
      <c r="CL46" s="47"/>
      <c r="CM46" s="47"/>
      <c r="CN46" s="47"/>
      <c r="CO46" s="47"/>
      <c r="CP46" s="47"/>
      <c r="CQ46" s="47"/>
      <c r="CR46" s="47"/>
      <c r="CS46" s="47"/>
      <c r="CT46" s="47"/>
      <c r="CU46" s="47"/>
      <c r="CV46" s="47"/>
      <c r="CW46" s="47"/>
      <c r="CX46" s="47"/>
      <c r="CY46" s="47"/>
      <c r="CZ46" s="47"/>
      <c r="DA46" s="47"/>
      <c r="DB46" s="47"/>
      <c r="DC46" s="47"/>
      <c r="DD46" s="47"/>
      <c r="DE46" s="47"/>
      <c r="DF46" s="47"/>
      <c r="DG46" s="47"/>
      <c r="DH46" s="47"/>
      <c r="DI46" s="47"/>
      <c r="DJ46" s="47"/>
      <c r="DK46" s="47"/>
      <c r="DL46" s="47"/>
      <c r="DM46" s="47"/>
      <c r="DN46" s="47"/>
      <c r="DO46" s="47"/>
      <c r="DP46" s="47"/>
      <c r="DQ46" s="47"/>
      <c r="DR46" s="47"/>
      <c r="DS46" s="47"/>
      <c r="DT46" s="47"/>
      <c r="DU46" s="47"/>
      <c r="DV46" s="47"/>
      <c r="DW46" s="47"/>
      <c r="DX46" s="47"/>
      <c r="DY46" s="47"/>
      <c r="DZ46" s="47"/>
      <c r="EA46" s="47"/>
      <c r="EB46" s="47"/>
      <c r="EC46" s="47"/>
      <c r="ED46" s="47"/>
      <c r="EE46" s="47"/>
      <c r="EF46" s="47"/>
      <c r="EG46" s="47"/>
      <c r="EH46" s="47"/>
      <c r="EI46" s="47"/>
      <c r="EJ46" s="47"/>
      <c r="EK46" s="47"/>
      <c r="EL46" s="47"/>
      <c r="EM46" s="47"/>
      <c r="EN46" s="47"/>
      <c r="EO46" s="47"/>
      <c r="EP46" s="47"/>
      <c r="EQ46" s="47"/>
      <c r="ER46" s="47"/>
      <c r="ES46" s="47"/>
      <c r="ET46" s="47"/>
      <c r="EU46" s="47"/>
      <c r="EV46" s="47"/>
      <c r="EW46" s="47"/>
      <c r="EX46" s="47"/>
      <c r="EY46" s="47"/>
      <c r="EZ46" s="47"/>
      <c r="FA46" s="47"/>
      <c r="FB46" s="47"/>
      <c r="FC46" s="47"/>
      <c r="FD46" s="47"/>
      <c r="FE46" s="47"/>
      <c r="FF46" s="47"/>
      <c r="FG46" s="47"/>
      <c r="FH46" s="47"/>
      <c r="FI46" s="47"/>
      <c r="FJ46" s="47"/>
      <c r="FK46" s="47"/>
      <c r="FL46" s="47"/>
      <c r="FM46" s="47"/>
      <c r="FN46" s="47"/>
      <c r="FO46" s="47"/>
      <c r="FP46" s="47"/>
      <c r="FQ46" s="47"/>
      <c r="FR46" s="47"/>
      <c r="FS46" s="47"/>
      <c r="FT46" s="47"/>
      <c r="FU46" s="47"/>
      <c r="FV46" s="47"/>
      <c r="FW46" s="47"/>
      <c r="FX46" s="47"/>
      <c r="FY46" s="47"/>
      <c r="FZ46" s="47"/>
      <c r="GA46" s="47"/>
      <c r="GB46" s="47"/>
      <c r="GC46" s="47"/>
      <c r="GD46" s="47"/>
      <c r="GE46" s="47"/>
      <c r="GF46" s="47"/>
      <c r="GG46" s="47"/>
      <c r="GH46" s="47"/>
      <c r="GI46" s="47"/>
      <c r="GJ46" s="47"/>
      <c r="GK46" s="47"/>
      <c r="GL46" s="47"/>
      <c r="GM46" s="47"/>
      <c r="GN46" s="47"/>
      <c r="GO46" s="47"/>
      <c r="GP46" s="47"/>
      <c r="GQ46" s="47"/>
      <c r="GR46" s="47"/>
      <c r="GS46" s="47"/>
      <c r="GT46" s="47"/>
      <c r="GU46" s="47"/>
      <c r="GV46" s="47"/>
      <c r="GW46" s="47"/>
      <c r="GX46" s="47"/>
      <c r="GY46" s="47"/>
    </row>
    <row r="47" spans="1:207" s="309" customFormat="1" ht="12.75">
      <c r="A47" s="133"/>
      <c r="B47" s="133"/>
      <c r="C47" s="133"/>
      <c r="D47" s="133"/>
      <c r="E47" s="133"/>
      <c r="F47" s="298"/>
      <c r="G47" s="299"/>
      <c r="H47" s="300"/>
      <c r="I47" s="301"/>
      <c r="J47" s="133"/>
      <c r="K47" s="302"/>
      <c r="L47" s="310" t="s">
        <v>516</v>
      </c>
      <c r="M47" s="311">
        <f>N47/N45</f>
        <v>0.5</v>
      </c>
      <c r="N47" s="312">
        <f>O33</f>
        <v>8381730</v>
      </c>
      <c r="O47" s="316" t="s">
        <v>517</v>
      </c>
      <c r="P47" s="304"/>
      <c r="Q47" s="304"/>
      <c r="R47" s="304"/>
      <c r="S47" s="304"/>
      <c r="T47" s="305"/>
      <c r="U47" s="306"/>
      <c r="V47" s="307"/>
      <c r="W47" s="307"/>
      <c r="X47" s="306"/>
      <c r="Y47" s="307"/>
      <c r="Z47" s="308"/>
      <c r="AA47" s="308"/>
      <c r="AB47" s="296"/>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7"/>
      <c r="BR47" s="47"/>
      <c r="BS47" s="47"/>
      <c r="BT47" s="47"/>
      <c r="BU47" s="47"/>
      <c r="BV47" s="47"/>
      <c r="BW47" s="47"/>
      <c r="BX47" s="47"/>
      <c r="BY47" s="47"/>
      <c r="BZ47" s="47"/>
      <c r="CA47" s="47"/>
      <c r="CB47" s="47"/>
      <c r="CC47" s="47"/>
      <c r="CD47" s="47"/>
      <c r="CE47" s="47"/>
      <c r="CF47" s="47"/>
      <c r="CG47" s="47"/>
      <c r="CH47" s="47"/>
      <c r="CI47" s="47"/>
      <c r="CJ47" s="47"/>
      <c r="CK47" s="47"/>
      <c r="CL47" s="47"/>
      <c r="CM47" s="47"/>
      <c r="CN47" s="47"/>
      <c r="CO47" s="47"/>
      <c r="CP47" s="47"/>
      <c r="CQ47" s="47"/>
      <c r="CR47" s="47"/>
      <c r="CS47" s="47"/>
      <c r="CT47" s="47"/>
      <c r="CU47" s="47"/>
      <c r="CV47" s="47"/>
      <c r="CW47" s="47"/>
      <c r="CX47" s="47"/>
      <c r="CY47" s="47"/>
      <c r="CZ47" s="47"/>
      <c r="DA47" s="47"/>
      <c r="DB47" s="47"/>
      <c r="DC47" s="47"/>
      <c r="DD47" s="47"/>
      <c r="DE47" s="47"/>
      <c r="DF47" s="47"/>
      <c r="DG47" s="47"/>
      <c r="DH47" s="47"/>
      <c r="DI47" s="47"/>
      <c r="DJ47" s="47"/>
      <c r="DK47" s="47"/>
      <c r="DL47" s="47"/>
      <c r="DM47" s="47"/>
      <c r="DN47" s="47"/>
      <c r="DO47" s="47"/>
      <c r="DP47" s="47"/>
      <c r="DQ47" s="47"/>
      <c r="DR47" s="47"/>
      <c r="DS47" s="47"/>
      <c r="DT47" s="47"/>
      <c r="DU47" s="47"/>
      <c r="DV47" s="47"/>
      <c r="DW47" s="47"/>
      <c r="DX47" s="47"/>
      <c r="DY47" s="47"/>
      <c r="DZ47" s="47"/>
      <c r="EA47" s="47"/>
      <c r="EB47" s="47"/>
      <c r="EC47" s="47"/>
      <c r="ED47" s="47"/>
      <c r="EE47" s="47"/>
      <c r="EF47" s="47"/>
      <c r="EG47" s="47"/>
      <c r="EH47" s="47"/>
      <c r="EI47" s="47"/>
      <c r="EJ47" s="47"/>
      <c r="EK47" s="47"/>
      <c r="EL47" s="47"/>
      <c r="EM47" s="47"/>
      <c r="EN47" s="47"/>
      <c r="EO47" s="47"/>
      <c r="EP47" s="47"/>
      <c r="EQ47" s="47"/>
      <c r="ER47" s="47"/>
      <c r="ES47" s="47"/>
      <c r="ET47" s="47"/>
      <c r="EU47" s="47"/>
      <c r="EV47" s="47"/>
      <c r="EW47" s="47"/>
      <c r="EX47" s="47"/>
      <c r="EY47" s="47"/>
      <c r="EZ47" s="47"/>
      <c r="FA47" s="47"/>
      <c r="FB47" s="47"/>
      <c r="FC47" s="47"/>
      <c r="FD47" s="47"/>
      <c r="FE47" s="47"/>
      <c r="FF47" s="47"/>
      <c r="FG47" s="47"/>
      <c r="FH47" s="47"/>
      <c r="FI47" s="47"/>
      <c r="FJ47" s="47"/>
      <c r="FK47" s="47"/>
      <c r="FL47" s="47"/>
      <c r="FM47" s="47"/>
      <c r="FN47" s="47"/>
      <c r="FO47" s="47"/>
      <c r="FP47" s="47"/>
      <c r="FQ47" s="47"/>
      <c r="FR47" s="47"/>
      <c r="FS47" s="47"/>
      <c r="FT47" s="47"/>
      <c r="FU47" s="47"/>
      <c r="FV47" s="47"/>
      <c r="FW47" s="47"/>
      <c r="FX47" s="47"/>
      <c r="FY47" s="47"/>
      <c r="FZ47" s="47"/>
      <c r="GA47" s="47"/>
      <c r="GB47" s="47"/>
      <c r="GC47" s="47"/>
      <c r="GD47" s="47"/>
      <c r="GE47" s="47"/>
      <c r="GF47" s="47"/>
      <c r="GG47" s="47"/>
      <c r="GH47" s="47"/>
      <c r="GI47" s="47"/>
      <c r="GJ47" s="47"/>
      <c r="GK47" s="47"/>
      <c r="GL47" s="47"/>
      <c r="GM47" s="47"/>
      <c r="GN47" s="47"/>
      <c r="GO47" s="47"/>
      <c r="GP47" s="47"/>
      <c r="GQ47" s="47"/>
      <c r="GR47" s="47"/>
      <c r="GS47" s="47"/>
      <c r="GT47" s="47"/>
      <c r="GU47" s="47"/>
      <c r="GV47" s="47"/>
      <c r="GW47" s="47"/>
      <c r="GX47" s="47"/>
      <c r="GY47" s="47"/>
    </row>
    <row r="48" spans="1:46" s="309" customFormat="1" ht="23.25" customHeight="1">
      <c r="A48" s="317"/>
      <c r="B48" s="318"/>
      <c r="C48" s="318"/>
      <c r="D48" s="318"/>
      <c r="E48" s="318"/>
      <c r="F48" s="318"/>
      <c r="G48" s="318"/>
      <c r="H48" s="318"/>
      <c r="I48" s="318"/>
      <c r="L48" s="319"/>
      <c r="AB48" s="320"/>
      <c r="AC48" s="321"/>
      <c r="AD48" s="321"/>
      <c r="AE48" s="321"/>
      <c r="AF48" s="321"/>
      <c r="AG48" s="321"/>
      <c r="AH48" s="321"/>
      <c r="AI48" s="321"/>
      <c r="AJ48" s="321"/>
      <c r="AK48" s="321"/>
      <c r="AL48" s="321"/>
      <c r="AM48" s="321"/>
      <c r="AN48" s="321"/>
      <c r="AO48" s="321"/>
      <c r="AP48" s="321"/>
      <c r="AQ48" s="321"/>
      <c r="AR48" s="321"/>
      <c r="AS48" s="321"/>
      <c r="AT48" s="321"/>
    </row>
    <row r="49" spans="1:47" s="188" customFormat="1" ht="285" customHeight="1">
      <c r="A49" s="34" t="s">
        <v>461</v>
      </c>
      <c r="B49" s="34" t="s">
        <v>192</v>
      </c>
      <c r="C49" s="34" t="s">
        <v>78</v>
      </c>
      <c r="D49" s="189" t="s">
        <v>123</v>
      </c>
      <c r="E49" s="34" t="s">
        <v>124</v>
      </c>
      <c r="F49" s="34" t="s">
        <v>518</v>
      </c>
      <c r="G49" s="34" t="s">
        <v>193</v>
      </c>
      <c r="H49" s="34" t="s">
        <v>194</v>
      </c>
      <c r="I49" s="34" t="s">
        <v>410</v>
      </c>
      <c r="J49" s="190" t="s">
        <v>29</v>
      </c>
      <c r="K49" s="190" t="s">
        <v>28</v>
      </c>
      <c r="L49" s="191">
        <v>4500000</v>
      </c>
      <c r="M49" s="192">
        <f>L49*0.65</f>
        <v>2925000</v>
      </c>
      <c r="N49" s="192">
        <f>L49*0.175</f>
        <v>787500</v>
      </c>
      <c r="O49" s="192">
        <f>L49*0.175</f>
        <v>787500</v>
      </c>
      <c r="P49" s="192">
        <v>0</v>
      </c>
      <c r="Q49" s="34" t="s">
        <v>86</v>
      </c>
      <c r="R49" s="193">
        <v>2.28</v>
      </c>
      <c r="S49" s="194">
        <v>0</v>
      </c>
      <c r="T49" s="194">
        <f>U49/R49</f>
        <v>1</v>
      </c>
      <c r="U49" s="193">
        <f>R49</f>
        <v>2.28</v>
      </c>
      <c r="V49" s="194">
        <f>T49</f>
        <v>1</v>
      </c>
      <c r="W49" s="195" t="s">
        <v>519</v>
      </c>
      <c r="X49" s="195" t="s">
        <v>520</v>
      </c>
      <c r="Y49" s="196">
        <v>120</v>
      </c>
      <c r="Z49" s="197" t="s">
        <v>521</v>
      </c>
      <c r="AA49" s="198" t="s">
        <v>522</v>
      </c>
      <c r="AB49" s="25"/>
      <c r="AC49" s="26"/>
      <c r="AD49" s="26"/>
      <c r="AE49" s="26"/>
      <c r="AF49" s="26"/>
      <c r="AG49" s="26"/>
      <c r="AH49" s="26"/>
      <c r="AI49" s="26"/>
      <c r="AJ49" s="26"/>
      <c r="AK49" s="26"/>
      <c r="AL49" s="26"/>
      <c r="AM49" s="26"/>
      <c r="AN49" s="26"/>
      <c r="AO49" s="26"/>
      <c r="AP49" s="26"/>
      <c r="AQ49" s="26"/>
      <c r="AR49" s="26"/>
      <c r="AS49" s="26"/>
      <c r="AT49" s="26"/>
      <c r="AU49" s="187"/>
    </row>
    <row r="50" spans="1:207" ht="12.75">
      <c r="A50" s="283"/>
      <c r="B50" s="271"/>
      <c r="C50" s="283"/>
      <c r="D50" s="283"/>
      <c r="E50" s="283"/>
      <c r="F50" s="284"/>
      <c r="G50" s="285"/>
      <c r="H50" s="286"/>
      <c r="I50" s="287"/>
      <c r="J50" s="283"/>
      <c r="K50" s="288"/>
      <c r="L50" s="289"/>
      <c r="M50" s="284"/>
      <c r="N50" s="284"/>
      <c r="O50" s="291"/>
      <c r="P50" s="291"/>
      <c r="Q50" s="291"/>
      <c r="R50" s="291"/>
      <c r="S50" s="291"/>
      <c r="T50" s="292"/>
      <c r="U50" s="293"/>
      <c r="V50" s="294"/>
      <c r="W50" s="294"/>
      <c r="X50" s="293"/>
      <c r="Y50" s="294"/>
      <c r="Z50" s="295"/>
      <c r="AA50" s="295"/>
      <c r="AB50" s="296"/>
      <c r="AC50" s="297"/>
      <c r="AD50" s="297"/>
      <c r="AE50" s="297"/>
      <c r="AF50" s="297"/>
      <c r="AG50" s="297"/>
      <c r="AH50" s="297"/>
      <c r="AI50" s="297"/>
      <c r="AJ50" s="297"/>
      <c r="AK50" s="297"/>
      <c r="AL50" s="297"/>
      <c r="AM50" s="297"/>
      <c r="AN50" s="297"/>
      <c r="AO50" s="297"/>
      <c r="AP50" s="297"/>
      <c r="AQ50" s="297"/>
      <c r="AR50" s="297"/>
      <c r="AS50" s="297"/>
      <c r="AT50" s="297"/>
      <c r="AU50" s="297"/>
      <c r="AV50" s="297"/>
      <c r="AW50" s="297"/>
      <c r="AX50" s="297"/>
      <c r="AY50" s="297"/>
      <c r="AZ50" s="297"/>
      <c r="BA50" s="297"/>
      <c r="BB50" s="297"/>
      <c r="BC50" s="297"/>
      <c r="BD50" s="297"/>
      <c r="BE50" s="297"/>
      <c r="BF50" s="297"/>
      <c r="BG50" s="297"/>
      <c r="BH50" s="297"/>
      <c r="BI50" s="297"/>
      <c r="BJ50" s="297"/>
      <c r="BK50" s="297"/>
      <c r="BL50" s="297"/>
      <c r="BM50" s="297"/>
      <c r="BN50" s="297"/>
      <c r="BO50" s="297"/>
      <c r="BP50" s="297"/>
      <c r="BQ50" s="297"/>
      <c r="BR50" s="297"/>
      <c r="BS50" s="297"/>
      <c r="BT50" s="297"/>
      <c r="BU50" s="297"/>
      <c r="BV50" s="297"/>
      <c r="BW50" s="297"/>
      <c r="BX50" s="297"/>
      <c r="BY50" s="297"/>
      <c r="BZ50" s="297"/>
      <c r="CA50" s="297"/>
      <c r="CB50" s="297"/>
      <c r="CC50" s="297"/>
      <c r="CD50" s="297"/>
      <c r="CE50" s="297"/>
      <c r="CF50" s="297"/>
      <c r="CG50" s="297"/>
      <c r="CH50" s="297"/>
      <c r="CI50" s="297"/>
      <c r="CJ50" s="297"/>
      <c r="CK50" s="297"/>
      <c r="CL50" s="297"/>
      <c r="CM50" s="297"/>
      <c r="CN50" s="297"/>
      <c r="CO50" s="297"/>
      <c r="CP50" s="297"/>
      <c r="CQ50" s="297"/>
      <c r="CR50" s="297"/>
      <c r="CS50" s="297"/>
      <c r="CT50" s="297"/>
      <c r="CU50" s="297"/>
      <c r="CV50" s="297"/>
      <c r="CW50" s="297"/>
      <c r="CX50" s="297"/>
      <c r="CY50" s="297"/>
      <c r="CZ50" s="297"/>
      <c r="DA50" s="297"/>
      <c r="DB50" s="297"/>
      <c r="DC50" s="297"/>
      <c r="DD50" s="297"/>
      <c r="DE50" s="297"/>
      <c r="DF50" s="297"/>
      <c r="DG50" s="297"/>
      <c r="DH50" s="297"/>
      <c r="DI50" s="297"/>
      <c r="DJ50" s="297"/>
      <c r="DK50" s="297"/>
      <c r="DL50" s="297"/>
      <c r="DM50" s="297"/>
      <c r="DN50" s="297"/>
      <c r="DO50" s="297"/>
      <c r="DP50" s="297"/>
      <c r="DQ50" s="297"/>
      <c r="DR50" s="297"/>
      <c r="DS50" s="297"/>
      <c r="DT50" s="297"/>
      <c r="DU50" s="297"/>
      <c r="DV50" s="297"/>
      <c r="DW50" s="297"/>
      <c r="DX50" s="297"/>
      <c r="DY50" s="297"/>
      <c r="DZ50" s="297"/>
      <c r="EA50" s="297"/>
      <c r="EB50" s="297"/>
      <c r="EC50" s="297"/>
      <c r="ED50" s="297"/>
      <c r="EE50" s="297"/>
      <c r="EF50" s="297"/>
      <c r="EG50" s="297"/>
      <c r="EH50" s="297"/>
      <c r="EI50" s="297"/>
      <c r="EJ50" s="297"/>
      <c r="EK50" s="297"/>
      <c r="EL50" s="297"/>
      <c r="EM50" s="297"/>
      <c r="EN50" s="297"/>
      <c r="EO50" s="297"/>
      <c r="EP50" s="297"/>
      <c r="EQ50" s="297"/>
      <c r="ER50" s="297"/>
      <c r="ES50" s="297"/>
      <c r="ET50" s="297"/>
      <c r="EU50" s="297"/>
      <c r="EV50" s="297"/>
      <c r="EW50" s="297"/>
      <c r="EX50" s="297"/>
      <c r="EY50" s="297"/>
      <c r="EZ50" s="297"/>
      <c r="FA50" s="297"/>
      <c r="FB50" s="297"/>
      <c r="FC50" s="297"/>
      <c r="FD50" s="297"/>
      <c r="FE50" s="297"/>
      <c r="FF50" s="297"/>
      <c r="FG50" s="297"/>
      <c r="FH50" s="297"/>
      <c r="FI50" s="297"/>
      <c r="FJ50" s="297"/>
      <c r="FK50" s="297"/>
      <c r="FL50" s="297"/>
      <c r="FM50" s="297"/>
      <c r="FN50" s="297"/>
      <c r="FO50" s="297"/>
      <c r="FP50" s="297"/>
      <c r="FQ50" s="297"/>
      <c r="FR50" s="297"/>
      <c r="FS50" s="297"/>
      <c r="FT50" s="297"/>
      <c r="FU50" s="297"/>
      <c r="FV50" s="297"/>
      <c r="FW50" s="297"/>
      <c r="FX50" s="297"/>
      <c r="FY50" s="297"/>
      <c r="FZ50" s="297"/>
      <c r="GA50" s="297"/>
      <c r="GB50" s="297"/>
      <c r="GC50" s="297"/>
      <c r="GD50" s="297"/>
      <c r="GE50" s="297"/>
      <c r="GF50" s="297"/>
      <c r="GG50" s="297"/>
      <c r="GH50" s="297"/>
      <c r="GI50" s="297"/>
      <c r="GJ50" s="297"/>
      <c r="GK50" s="297"/>
      <c r="GL50" s="297"/>
      <c r="GM50" s="297"/>
      <c r="GN50" s="297"/>
      <c r="GO50" s="297"/>
      <c r="GP50" s="297"/>
      <c r="GQ50" s="297"/>
      <c r="GR50" s="297"/>
      <c r="GS50" s="297"/>
      <c r="GT50" s="297"/>
      <c r="GU50" s="297"/>
      <c r="GV50" s="297"/>
      <c r="GW50" s="297"/>
      <c r="GX50" s="297"/>
      <c r="GY50" s="297"/>
    </row>
    <row r="51" spans="1:207" ht="12.75">
      <c r="A51" s="283"/>
      <c r="B51" s="271"/>
      <c r="C51" s="283"/>
      <c r="D51" s="283"/>
      <c r="E51" s="283"/>
      <c r="F51" s="284"/>
      <c r="G51" s="285"/>
      <c r="H51" s="286"/>
      <c r="I51" s="287">
        <f>10140/3</f>
        <v>3380</v>
      </c>
      <c r="J51" s="283"/>
      <c r="K51" s="288"/>
      <c r="L51" s="289"/>
      <c r="M51" s="284"/>
      <c r="N51" s="284"/>
      <c r="O51" s="291"/>
      <c r="P51" s="291"/>
      <c r="Q51" s="291"/>
      <c r="R51" s="291"/>
      <c r="S51" s="291"/>
      <c r="T51" s="292"/>
      <c r="U51" s="293"/>
      <c r="V51" s="294"/>
      <c r="W51" s="294"/>
      <c r="X51" s="293"/>
      <c r="Y51" s="294"/>
      <c r="Z51" s="295"/>
      <c r="AA51" s="295"/>
      <c r="AB51" s="296"/>
      <c r="AC51" s="297"/>
      <c r="AD51" s="297"/>
      <c r="AE51" s="297"/>
      <c r="AF51" s="297"/>
      <c r="AG51" s="297"/>
      <c r="AH51" s="297"/>
      <c r="AI51" s="297"/>
      <c r="AJ51" s="297"/>
      <c r="AK51" s="297"/>
      <c r="AL51" s="297"/>
      <c r="AM51" s="297"/>
      <c r="AN51" s="297"/>
      <c r="AO51" s="297"/>
      <c r="AP51" s="297"/>
      <c r="AQ51" s="297"/>
      <c r="AR51" s="297"/>
      <c r="AS51" s="297"/>
      <c r="AT51" s="297"/>
      <c r="AU51" s="297"/>
      <c r="AV51" s="297"/>
      <c r="AW51" s="297"/>
      <c r="AX51" s="297"/>
      <c r="AY51" s="297"/>
      <c r="AZ51" s="297"/>
      <c r="BA51" s="297"/>
      <c r="BB51" s="297"/>
      <c r="BC51" s="297"/>
      <c r="BD51" s="297"/>
      <c r="BE51" s="297"/>
      <c r="BF51" s="297"/>
      <c r="BG51" s="297"/>
      <c r="BH51" s="297"/>
      <c r="BI51" s="297"/>
      <c r="BJ51" s="297"/>
      <c r="BK51" s="297"/>
      <c r="BL51" s="297"/>
      <c r="BM51" s="297"/>
      <c r="BN51" s="297"/>
      <c r="BO51" s="297"/>
      <c r="BP51" s="297"/>
      <c r="BQ51" s="297"/>
      <c r="BR51" s="297"/>
      <c r="BS51" s="297"/>
      <c r="BT51" s="297"/>
      <c r="BU51" s="297"/>
      <c r="BV51" s="297"/>
      <c r="BW51" s="297"/>
      <c r="BX51" s="297"/>
      <c r="BY51" s="297"/>
      <c r="BZ51" s="297"/>
      <c r="CA51" s="297"/>
      <c r="CB51" s="297"/>
      <c r="CC51" s="297"/>
      <c r="CD51" s="297"/>
      <c r="CE51" s="297"/>
      <c r="CF51" s="297"/>
      <c r="CG51" s="297"/>
      <c r="CH51" s="297"/>
      <c r="CI51" s="297"/>
      <c r="CJ51" s="297"/>
      <c r="CK51" s="297"/>
      <c r="CL51" s="297"/>
      <c r="CM51" s="297"/>
      <c r="CN51" s="297"/>
      <c r="CO51" s="297"/>
      <c r="CP51" s="297"/>
      <c r="CQ51" s="297"/>
      <c r="CR51" s="297"/>
      <c r="CS51" s="297"/>
      <c r="CT51" s="297"/>
      <c r="CU51" s="297"/>
      <c r="CV51" s="297"/>
      <c r="CW51" s="297"/>
      <c r="CX51" s="297"/>
      <c r="CY51" s="297"/>
      <c r="CZ51" s="297"/>
      <c r="DA51" s="297"/>
      <c r="DB51" s="297"/>
      <c r="DC51" s="297"/>
      <c r="DD51" s="297"/>
      <c r="DE51" s="297"/>
      <c r="DF51" s="297"/>
      <c r="DG51" s="297"/>
      <c r="DH51" s="297"/>
      <c r="DI51" s="297"/>
      <c r="DJ51" s="297"/>
      <c r="DK51" s="297"/>
      <c r="DL51" s="297"/>
      <c r="DM51" s="297"/>
      <c r="DN51" s="297"/>
      <c r="DO51" s="297"/>
      <c r="DP51" s="297"/>
      <c r="DQ51" s="297"/>
      <c r="DR51" s="297"/>
      <c r="DS51" s="297"/>
      <c r="DT51" s="297"/>
      <c r="DU51" s="297"/>
      <c r="DV51" s="297"/>
      <c r="DW51" s="297"/>
      <c r="DX51" s="297"/>
      <c r="DY51" s="297"/>
      <c r="DZ51" s="297"/>
      <c r="EA51" s="297"/>
      <c r="EB51" s="297"/>
      <c r="EC51" s="297"/>
      <c r="ED51" s="297"/>
      <c r="EE51" s="297"/>
      <c r="EF51" s="297"/>
      <c r="EG51" s="297"/>
      <c r="EH51" s="297"/>
      <c r="EI51" s="297"/>
      <c r="EJ51" s="297"/>
      <c r="EK51" s="297"/>
      <c r="EL51" s="297"/>
      <c r="EM51" s="297"/>
      <c r="EN51" s="297"/>
      <c r="EO51" s="297"/>
      <c r="EP51" s="297"/>
      <c r="EQ51" s="297"/>
      <c r="ER51" s="297"/>
      <c r="ES51" s="297"/>
      <c r="ET51" s="297"/>
      <c r="EU51" s="297"/>
      <c r="EV51" s="297"/>
      <c r="EW51" s="297"/>
      <c r="EX51" s="297"/>
      <c r="EY51" s="297"/>
      <c r="EZ51" s="297"/>
      <c r="FA51" s="297"/>
      <c r="FB51" s="297"/>
      <c r="FC51" s="297"/>
      <c r="FD51" s="297"/>
      <c r="FE51" s="297"/>
      <c r="FF51" s="297"/>
      <c r="FG51" s="297"/>
      <c r="FH51" s="297"/>
      <c r="FI51" s="297"/>
      <c r="FJ51" s="297"/>
      <c r="FK51" s="297"/>
      <c r="FL51" s="297"/>
      <c r="FM51" s="297"/>
      <c r="FN51" s="297"/>
      <c r="FO51" s="297"/>
      <c r="FP51" s="297"/>
      <c r="FQ51" s="297"/>
      <c r="FR51" s="297"/>
      <c r="FS51" s="297"/>
      <c r="FT51" s="297"/>
      <c r="FU51" s="297"/>
      <c r="FV51" s="297"/>
      <c r="FW51" s="297"/>
      <c r="FX51" s="297"/>
      <c r="FY51" s="297"/>
      <c r="FZ51" s="297"/>
      <c r="GA51" s="297"/>
      <c r="GB51" s="297"/>
      <c r="GC51" s="297"/>
      <c r="GD51" s="297"/>
      <c r="GE51" s="297"/>
      <c r="GF51" s="297"/>
      <c r="GG51" s="297"/>
      <c r="GH51" s="297"/>
      <c r="GI51" s="297"/>
      <c r="GJ51" s="297"/>
      <c r="GK51" s="297"/>
      <c r="GL51" s="297"/>
      <c r="GM51" s="297"/>
      <c r="GN51" s="297"/>
      <c r="GO51" s="297"/>
      <c r="GP51" s="297"/>
      <c r="GQ51" s="297"/>
      <c r="GR51" s="297"/>
      <c r="GS51" s="297"/>
      <c r="GT51" s="297"/>
      <c r="GU51" s="297"/>
      <c r="GV51" s="297"/>
      <c r="GW51" s="297"/>
      <c r="GX51" s="297"/>
      <c r="GY51" s="297"/>
    </row>
    <row r="52" spans="1:207" ht="12.75">
      <c r="A52" s="283"/>
      <c r="B52" s="271"/>
      <c r="C52" s="283"/>
      <c r="D52" s="283"/>
      <c r="E52" s="283"/>
      <c r="F52" s="284"/>
      <c r="G52" s="285"/>
      <c r="H52" s="286"/>
      <c r="I52" s="287"/>
      <c r="J52" s="283"/>
      <c r="K52" s="288"/>
      <c r="L52" s="289"/>
      <c r="M52" s="284"/>
      <c r="N52" s="284"/>
      <c r="O52" s="291"/>
      <c r="P52" s="291"/>
      <c r="Q52" s="291"/>
      <c r="R52" s="291"/>
      <c r="S52" s="291"/>
      <c r="T52" s="292"/>
      <c r="U52" s="293"/>
      <c r="V52" s="294"/>
      <c r="W52" s="294"/>
      <c r="X52" s="293"/>
      <c r="Y52" s="294"/>
      <c r="Z52" s="295"/>
      <c r="AA52" s="295"/>
      <c r="AB52" s="296"/>
      <c r="AC52" s="297"/>
      <c r="AD52" s="297"/>
      <c r="AE52" s="297"/>
      <c r="AF52" s="297"/>
      <c r="AG52" s="297"/>
      <c r="AH52" s="297"/>
      <c r="AI52" s="297"/>
      <c r="AJ52" s="297"/>
      <c r="AK52" s="297"/>
      <c r="AL52" s="297"/>
      <c r="AM52" s="297"/>
      <c r="AN52" s="297"/>
      <c r="AO52" s="297"/>
      <c r="AP52" s="297"/>
      <c r="AQ52" s="297"/>
      <c r="AR52" s="297"/>
      <c r="AS52" s="297"/>
      <c r="AT52" s="297"/>
      <c r="AU52" s="297"/>
      <c r="AV52" s="297"/>
      <c r="AW52" s="297"/>
      <c r="AX52" s="297"/>
      <c r="AY52" s="297"/>
      <c r="AZ52" s="297"/>
      <c r="BA52" s="297"/>
      <c r="BB52" s="297"/>
      <c r="BC52" s="297"/>
      <c r="BD52" s="297"/>
      <c r="BE52" s="297"/>
      <c r="BF52" s="297"/>
      <c r="BG52" s="297"/>
      <c r="BH52" s="297"/>
      <c r="BI52" s="297"/>
      <c r="BJ52" s="297"/>
      <c r="BK52" s="297"/>
      <c r="BL52" s="297"/>
      <c r="BM52" s="297"/>
      <c r="BN52" s="297"/>
      <c r="BO52" s="297"/>
      <c r="BP52" s="297"/>
      <c r="BQ52" s="297"/>
      <c r="BR52" s="297"/>
      <c r="BS52" s="297"/>
      <c r="BT52" s="297"/>
      <c r="BU52" s="297"/>
      <c r="BV52" s="297"/>
      <c r="BW52" s="297"/>
      <c r="BX52" s="297"/>
      <c r="BY52" s="297"/>
      <c r="BZ52" s="297"/>
      <c r="CA52" s="297"/>
      <c r="CB52" s="297"/>
      <c r="CC52" s="297"/>
      <c r="CD52" s="297"/>
      <c r="CE52" s="297"/>
      <c r="CF52" s="297"/>
      <c r="CG52" s="297"/>
      <c r="CH52" s="297"/>
      <c r="CI52" s="297"/>
      <c r="CJ52" s="297"/>
      <c r="CK52" s="297"/>
      <c r="CL52" s="297"/>
      <c r="CM52" s="297"/>
      <c r="CN52" s="297"/>
      <c r="CO52" s="297"/>
      <c r="CP52" s="297"/>
      <c r="CQ52" s="297"/>
      <c r="CR52" s="297"/>
      <c r="CS52" s="297"/>
      <c r="CT52" s="297"/>
      <c r="CU52" s="297"/>
      <c r="CV52" s="297"/>
      <c r="CW52" s="297"/>
      <c r="CX52" s="297"/>
      <c r="CY52" s="297"/>
      <c r="CZ52" s="297"/>
      <c r="DA52" s="297"/>
      <c r="DB52" s="297"/>
      <c r="DC52" s="297"/>
      <c r="DD52" s="297"/>
      <c r="DE52" s="297"/>
      <c r="DF52" s="297"/>
      <c r="DG52" s="297"/>
      <c r="DH52" s="297"/>
      <c r="DI52" s="297"/>
      <c r="DJ52" s="297"/>
      <c r="DK52" s="297"/>
      <c r="DL52" s="297"/>
      <c r="DM52" s="297"/>
      <c r="DN52" s="297"/>
      <c r="DO52" s="297"/>
      <c r="DP52" s="297"/>
      <c r="DQ52" s="297"/>
      <c r="DR52" s="297"/>
      <c r="DS52" s="297"/>
      <c r="DT52" s="297"/>
      <c r="DU52" s="297"/>
      <c r="DV52" s="297"/>
      <c r="DW52" s="297"/>
      <c r="DX52" s="297"/>
      <c r="DY52" s="297"/>
      <c r="DZ52" s="297"/>
      <c r="EA52" s="297"/>
      <c r="EB52" s="297"/>
      <c r="EC52" s="297"/>
      <c r="ED52" s="297"/>
      <c r="EE52" s="297"/>
      <c r="EF52" s="297"/>
      <c r="EG52" s="297"/>
      <c r="EH52" s="297"/>
      <c r="EI52" s="297"/>
      <c r="EJ52" s="297"/>
      <c r="EK52" s="297"/>
      <c r="EL52" s="297"/>
      <c r="EM52" s="297"/>
      <c r="EN52" s="297"/>
      <c r="EO52" s="297"/>
      <c r="EP52" s="297"/>
      <c r="EQ52" s="297"/>
      <c r="ER52" s="297"/>
      <c r="ES52" s="297"/>
      <c r="ET52" s="297"/>
      <c r="EU52" s="297"/>
      <c r="EV52" s="297"/>
      <c r="EW52" s="297"/>
      <c r="EX52" s="297"/>
      <c r="EY52" s="297"/>
      <c r="EZ52" s="297"/>
      <c r="FA52" s="297"/>
      <c r="FB52" s="297"/>
      <c r="FC52" s="297"/>
      <c r="FD52" s="297"/>
      <c r="FE52" s="297"/>
      <c r="FF52" s="297"/>
      <c r="FG52" s="297"/>
      <c r="FH52" s="297"/>
      <c r="FI52" s="297"/>
      <c r="FJ52" s="297"/>
      <c r="FK52" s="297"/>
      <c r="FL52" s="297"/>
      <c r="FM52" s="297"/>
      <c r="FN52" s="297"/>
      <c r="FO52" s="297"/>
      <c r="FP52" s="297"/>
      <c r="FQ52" s="297"/>
      <c r="FR52" s="297"/>
      <c r="FS52" s="297"/>
      <c r="FT52" s="297"/>
      <c r="FU52" s="297"/>
      <c r="FV52" s="297"/>
      <c r="FW52" s="297"/>
      <c r="FX52" s="297"/>
      <c r="FY52" s="297"/>
      <c r="FZ52" s="297"/>
      <c r="GA52" s="297"/>
      <c r="GB52" s="297"/>
      <c r="GC52" s="297"/>
      <c r="GD52" s="297"/>
      <c r="GE52" s="297"/>
      <c r="GF52" s="297"/>
      <c r="GG52" s="297"/>
      <c r="GH52" s="297"/>
      <c r="GI52" s="297"/>
      <c r="GJ52" s="297"/>
      <c r="GK52" s="297"/>
      <c r="GL52" s="297"/>
      <c r="GM52" s="297"/>
      <c r="GN52" s="297"/>
      <c r="GO52" s="297"/>
      <c r="GP52" s="297"/>
      <c r="GQ52" s="297"/>
      <c r="GR52" s="297"/>
      <c r="GS52" s="297"/>
      <c r="GT52" s="297"/>
      <c r="GU52" s="297"/>
      <c r="GV52" s="297"/>
      <c r="GW52" s="297"/>
      <c r="GX52" s="297"/>
      <c r="GY52" s="297"/>
    </row>
    <row r="55" spans="1:28" s="326" customFormat="1" ht="89.25">
      <c r="A55" s="34" t="s">
        <v>523</v>
      </c>
      <c r="B55" s="322" t="s">
        <v>139</v>
      </c>
      <c r="C55" s="197" t="s">
        <v>524</v>
      </c>
      <c r="D55" s="44"/>
      <c r="E55" s="34"/>
      <c r="F55" s="34" t="s">
        <v>525</v>
      </c>
      <c r="G55" s="197" t="s">
        <v>479</v>
      </c>
      <c r="H55" s="34" t="s">
        <v>526</v>
      </c>
      <c r="I55" s="34" t="s">
        <v>505</v>
      </c>
      <c r="J55" s="190" t="s">
        <v>29</v>
      </c>
      <c r="K55" s="190" t="s">
        <v>28</v>
      </c>
      <c r="L55" s="204">
        <v>1000000</v>
      </c>
      <c r="M55" s="204">
        <v>650000</v>
      </c>
      <c r="N55" s="204">
        <v>175000</v>
      </c>
      <c r="O55" s="204">
        <v>175000</v>
      </c>
      <c r="P55" s="323">
        <v>0</v>
      </c>
      <c r="Q55" s="34" t="s">
        <v>527</v>
      </c>
      <c r="R55" s="324">
        <v>50</v>
      </c>
      <c r="S55" s="205">
        <v>0</v>
      </c>
      <c r="T55" s="206">
        <v>1</v>
      </c>
      <c r="U55" s="207">
        <v>50</v>
      </c>
      <c r="V55" s="208">
        <v>1</v>
      </c>
      <c r="W55" s="209">
        <v>150</v>
      </c>
      <c r="X55" s="209">
        <v>100</v>
      </c>
      <c r="Y55" s="197">
        <v>90</v>
      </c>
      <c r="Z55" s="322" t="s">
        <v>528</v>
      </c>
      <c r="AA55" s="325"/>
      <c r="AB55" s="25" t="s">
        <v>529</v>
      </c>
    </row>
    <row r="56" spans="1:28" s="326" customFormat="1" ht="89.25">
      <c r="A56" s="34" t="s">
        <v>530</v>
      </c>
      <c r="B56" s="322" t="s">
        <v>139</v>
      </c>
      <c r="C56" s="197" t="s">
        <v>118</v>
      </c>
      <c r="D56" s="44"/>
      <c r="E56" s="34"/>
      <c r="F56" s="34" t="s">
        <v>525</v>
      </c>
      <c r="G56" s="197" t="s">
        <v>479</v>
      </c>
      <c r="H56" s="34" t="s">
        <v>526</v>
      </c>
      <c r="I56" s="34" t="s">
        <v>317</v>
      </c>
      <c r="J56" s="190" t="s">
        <v>29</v>
      </c>
      <c r="K56" s="190" t="s">
        <v>28</v>
      </c>
      <c r="L56" s="204">
        <v>500000</v>
      </c>
      <c r="M56" s="204">
        <v>325000</v>
      </c>
      <c r="N56" s="204">
        <v>87500</v>
      </c>
      <c r="O56" s="204">
        <v>87500</v>
      </c>
      <c r="P56" s="323">
        <v>0</v>
      </c>
      <c r="Q56" s="34" t="s">
        <v>527</v>
      </c>
      <c r="R56" s="324">
        <v>25</v>
      </c>
      <c r="S56" s="205">
        <v>0</v>
      </c>
      <c r="T56" s="206">
        <v>1</v>
      </c>
      <c r="U56" s="207">
        <v>25</v>
      </c>
      <c r="V56" s="208">
        <v>1</v>
      </c>
      <c r="W56" s="209">
        <v>81.25</v>
      </c>
      <c r="X56" s="209">
        <v>43.75</v>
      </c>
      <c r="Y56" s="197">
        <v>45</v>
      </c>
      <c r="Z56" s="322" t="s">
        <v>528</v>
      </c>
      <c r="AA56" s="325"/>
      <c r="AB56" s="25" t="s">
        <v>529</v>
      </c>
    </row>
    <row r="57" spans="1:28" s="326" customFormat="1" ht="89.25">
      <c r="A57" s="34" t="s">
        <v>531</v>
      </c>
      <c r="B57" s="322" t="s">
        <v>139</v>
      </c>
      <c r="C57" s="197" t="s">
        <v>524</v>
      </c>
      <c r="D57" s="44"/>
      <c r="E57" s="34"/>
      <c r="F57" s="34" t="s">
        <v>525</v>
      </c>
      <c r="G57" s="197" t="s">
        <v>479</v>
      </c>
      <c r="H57" s="34" t="s">
        <v>526</v>
      </c>
      <c r="I57" s="34" t="s">
        <v>154</v>
      </c>
      <c r="J57" s="190" t="s">
        <v>29</v>
      </c>
      <c r="K57" s="190" t="s">
        <v>28</v>
      </c>
      <c r="L57" s="204">
        <v>500000</v>
      </c>
      <c r="M57" s="204">
        <v>325000</v>
      </c>
      <c r="N57" s="204">
        <v>87500</v>
      </c>
      <c r="O57" s="204">
        <v>87500</v>
      </c>
      <c r="P57" s="323">
        <v>0</v>
      </c>
      <c r="Q57" s="34" t="s">
        <v>527</v>
      </c>
      <c r="R57" s="324">
        <v>25</v>
      </c>
      <c r="S57" s="205">
        <v>0</v>
      </c>
      <c r="T57" s="206">
        <v>1</v>
      </c>
      <c r="U57" s="207">
        <v>25</v>
      </c>
      <c r="V57" s="208">
        <v>1</v>
      </c>
      <c r="W57" s="209">
        <v>81.25</v>
      </c>
      <c r="X57" s="209">
        <v>43.75</v>
      </c>
      <c r="Y57" s="197">
        <v>45</v>
      </c>
      <c r="Z57" s="322" t="s">
        <v>528</v>
      </c>
      <c r="AA57" s="325"/>
      <c r="AB57" s="25" t="s">
        <v>529</v>
      </c>
    </row>
    <row r="58" spans="1:28" s="326" customFormat="1" ht="89.25">
      <c r="A58" s="34" t="s">
        <v>532</v>
      </c>
      <c r="B58" s="322" t="s">
        <v>139</v>
      </c>
      <c r="C58" s="197" t="s">
        <v>524</v>
      </c>
      <c r="D58" s="44"/>
      <c r="E58" s="34"/>
      <c r="F58" s="34" t="s">
        <v>525</v>
      </c>
      <c r="G58" s="197" t="s">
        <v>479</v>
      </c>
      <c r="H58" s="34" t="s">
        <v>526</v>
      </c>
      <c r="I58" s="34" t="s">
        <v>152</v>
      </c>
      <c r="J58" s="190" t="s">
        <v>29</v>
      </c>
      <c r="K58" s="190" t="s">
        <v>28</v>
      </c>
      <c r="L58" s="204">
        <v>500000</v>
      </c>
      <c r="M58" s="204">
        <v>325000</v>
      </c>
      <c r="N58" s="204">
        <v>87500</v>
      </c>
      <c r="O58" s="204">
        <v>87500</v>
      </c>
      <c r="P58" s="323">
        <v>0</v>
      </c>
      <c r="Q58" s="34" t="s">
        <v>527</v>
      </c>
      <c r="R58" s="324">
        <v>25</v>
      </c>
      <c r="S58" s="205">
        <v>0</v>
      </c>
      <c r="T58" s="206">
        <v>1</v>
      </c>
      <c r="U58" s="207">
        <v>25</v>
      </c>
      <c r="V58" s="208">
        <v>1</v>
      </c>
      <c r="W58" s="209">
        <v>81.25</v>
      </c>
      <c r="X58" s="209">
        <v>43.75</v>
      </c>
      <c r="Y58" s="197">
        <v>45</v>
      </c>
      <c r="Z58" s="322" t="s">
        <v>528</v>
      </c>
      <c r="AA58" s="325"/>
      <c r="AB58" s="25" t="s">
        <v>529</v>
      </c>
    </row>
    <row r="59" spans="1:47" s="188" customFormat="1" ht="89.25">
      <c r="A59" s="34" t="s">
        <v>533</v>
      </c>
      <c r="B59" s="34" t="s">
        <v>139</v>
      </c>
      <c r="C59" s="197" t="s">
        <v>524</v>
      </c>
      <c r="D59" s="44"/>
      <c r="E59" s="34"/>
      <c r="F59" s="34" t="s">
        <v>525</v>
      </c>
      <c r="G59" s="34" t="s">
        <v>479</v>
      </c>
      <c r="H59" s="34" t="s">
        <v>526</v>
      </c>
      <c r="I59" s="34" t="s">
        <v>150</v>
      </c>
      <c r="J59" s="190" t="s">
        <v>29</v>
      </c>
      <c r="K59" s="190" t="s">
        <v>28</v>
      </c>
      <c r="L59" s="191">
        <v>500000</v>
      </c>
      <c r="M59" s="323">
        <v>325000</v>
      </c>
      <c r="N59" s="323">
        <v>87500</v>
      </c>
      <c r="O59" s="323">
        <v>87500</v>
      </c>
      <c r="P59" s="323">
        <v>0</v>
      </c>
      <c r="Q59" s="34" t="s">
        <v>527</v>
      </c>
      <c r="R59" s="324">
        <v>25</v>
      </c>
      <c r="S59" s="194">
        <v>0</v>
      </c>
      <c r="T59" s="194">
        <v>1</v>
      </c>
      <c r="U59" s="324">
        <v>25</v>
      </c>
      <c r="V59" s="194">
        <v>1</v>
      </c>
      <c r="W59" s="195">
        <v>81.25</v>
      </c>
      <c r="X59" s="195">
        <v>43.75</v>
      </c>
      <c r="Y59" s="196">
        <v>45</v>
      </c>
      <c r="Z59" s="34" t="s">
        <v>528</v>
      </c>
      <c r="AA59" s="25"/>
      <c r="AB59" s="25" t="s">
        <v>529</v>
      </c>
      <c r="AC59" s="26"/>
      <c r="AD59" s="26"/>
      <c r="AE59" s="26"/>
      <c r="AF59" s="26"/>
      <c r="AG59" s="26"/>
      <c r="AH59" s="26"/>
      <c r="AI59" s="26"/>
      <c r="AJ59" s="26"/>
      <c r="AK59" s="26"/>
      <c r="AL59" s="26"/>
      <c r="AM59" s="26"/>
      <c r="AN59" s="26"/>
      <c r="AO59" s="26"/>
      <c r="AP59" s="26"/>
      <c r="AQ59" s="26"/>
      <c r="AR59" s="26"/>
      <c r="AS59" s="26"/>
      <c r="AT59" s="26"/>
      <c r="AU59" s="187"/>
    </row>
    <row r="61" spans="23:24" ht="23.25" customHeight="1">
      <c r="W61" s="327">
        <v>57</v>
      </c>
      <c r="X61" s="327">
        <v>87</v>
      </c>
    </row>
    <row r="62" spans="23:24" ht="23.25" customHeight="1">
      <c r="W62" s="327">
        <v>160</v>
      </c>
      <c r="X62" s="327">
        <v>175</v>
      </c>
    </row>
    <row r="63" spans="23:24" ht="23.25" customHeight="1">
      <c r="W63" s="327">
        <v>49</v>
      </c>
      <c r="X63" s="327">
        <v>47</v>
      </c>
    </row>
    <row r="64" spans="23:24" ht="23.25" customHeight="1">
      <c r="W64" s="327">
        <v>42</v>
      </c>
      <c r="X64" s="327">
        <v>48</v>
      </c>
    </row>
    <row r="65" spans="23:24" ht="23.25" customHeight="1">
      <c r="W65" s="327">
        <v>162</v>
      </c>
      <c r="X65" s="327">
        <v>182</v>
      </c>
    </row>
    <row r="66" spans="23:24" ht="23.25" customHeight="1">
      <c r="W66" s="327">
        <v>75</v>
      </c>
      <c r="X66" s="327">
        <v>84</v>
      </c>
    </row>
    <row r="67" spans="23:24" ht="23.25" customHeight="1">
      <c r="W67" s="327">
        <v>140</v>
      </c>
      <c r="X67" s="327">
        <v>143</v>
      </c>
    </row>
    <row r="68" spans="23:24" ht="23.25" customHeight="1">
      <c r="W68" s="327">
        <v>17</v>
      </c>
      <c r="X68" s="327">
        <v>20</v>
      </c>
    </row>
    <row r="69" spans="23:24" ht="23.25" customHeight="1">
      <c r="W69" s="327">
        <v>74</v>
      </c>
      <c r="X69" s="327">
        <v>80</v>
      </c>
    </row>
    <row r="70" spans="23:24" ht="23.25" customHeight="1">
      <c r="W70" s="327">
        <v>64</v>
      </c>
      <c r="X70" s="327">
        <v>69</v>
      </c>
    </row>
    <row r="71" spans="23:24" ht="23.25" customHeight="1">
      <c r="W71" s="327">
        <v>20</v>
      </c>
      <c r="X71" s="327">
        <v>23</v>
      </c>
    </row>
    <row r="72" spans="23:24" ht="23.25" customHeight="1">
      <c r="W72" s="327">
        <v>188</v>
      </c>
      <c r="X72" s="327">
        <v>185</v>
      </c>
    </row>
    <row r="73" spans="23:24" ht="23.25" customHeight="1">
      <c r="W73" s="327">
        <v>658</v>
      </c>
      <c r="X73" s="327">
        <v>670</v>
      </c>
    </row>
    <row r="74" spans="23:24" ht="23.25" customHeight="1">
      <c r="W74" s="327">
        <v>490</v>
      </c>
      <c r="X74" s="327">
        <v>513</v>
      </c>
    </row>
    <row r="75" spans="23:24" ht="23.25" customHeight="1">
      <c r="W75" s="327">
        <v>1385</v>
      </c>
      <c r="X75" s="327">
        <v>1436</v>
      </c>
    </row>
    <row r="76" spans="23:24" ht="23.25" customHeight="1">
      <c r="W76" s="327">
        <v>532</v>
      </c>
      <c r="X76" s="327">
        <v>573</v>
      </c>
    </row>
    <row r="77" spans="23:24" ht="23.25" customHeight="1">
      <c r="W77" s="327">
        <v>445</v>
      </c>
      <c r="X77" s="327">
        <v>434</v>
      </c>
    </row>
    <row r="78" spans="23:24" ht="23.25" customHeight="1">
      <c r="W78" s="327">
        <v>55</v>
      </c>
      <c r="X78" s="327">
        <v>47</v>
      </c>
    </row>
    <row r="79" spans="23:24" ht="23.25" customHeight="1">
      <c r="W79" s="327">
        <v>540</v>
      </c>
      <c r="X79" s="327">
        <v>622</v>
      </c>
    </row>
    <row r="80" spans="23:24" ht="23.25" customHeight="1">
      <c r="W80" s="327">
        <v>502</v>
      </c>
      <c r="X80" s="327">
        <v>585</v>
      </c>
    </row>
    <row r="81" spans="23:24" ht="23.25" customHeight="1">
      <c r="W81" s="327">
        <v>57</v>
      </c>
      <c r="X81" s="327">
        <v>87</v>
      </c>
    </row>
    <row r="82" spans="23:24" ht="23.25" customHeight="1">
      <c r="W82" s="327">
        <v>146</v>
      </c>
      <c r="X82" s="327">
        <v>124</v>
      </c>
    </row>
    <row r="83" spans="23:24" ht="23.25" customHeight="1">
      <c r="W83" s="327">
        <v>658</v>
      </c>
      <c r="X83" s="327">
        <v>670</v>
      </c>
    </row>
    <row r="84" spans="23:24" ht="23.25" customHeight="1">
      <c r="W84" s="327">
        <v>402</v>
      </c>
      <c r="X84" s="327">
        <v>410</v>
      </c>
    </row>
    <row r="85" spans="23:24" ht="23.25" customHeight="1">
      <c r="W85" s="327">
        <v>188</v>
      </c>
      <c r="X85" s="327">
        <v>185</v>
      </c>
    </row>
    <row r="86" spans="23:24" ht="23.25" customHeight="1">
      <c r="W86" s="327">
        <v>37</v>
      </c>
      <c r="X86" s="327">
        <v>39</v>
      </c>
    </row>
    <row r="87" spans="23:24" ht="23.25" customHeight="1">
      <c r="W87" s="327">
        <v>502</v>
      </c>
      <c r="X87" s="327">
        <v>582</v>
      </c>
    </row>
    <row r="88" spans="23:24" ht="23.25" customHeight="1">
      <c r="W88" s="327">
        <v>1385</v>
      </c>
      <c r="X88" s="327">
        <v>1436</v>
      </c>
    </row>
    <row r="89" spans="23:24" ht="23.25" customHeight="1">
      <c r="W89" s="327">
        <v>187</v>
      </c>
      <c r="X89" s="327">
        <v>209</v>
      </c>
    </row>
    <row r="90" spans="23:24" ht="23.25" customHeight="1">
      <c r="W90" s="327">
        <v>57</v>
      </c>
      <c r="X90" s="327">
        <v>87</v>
      </c>
    </row>
    <row r="91" spans="23:24" ht="23.25" customHeight="1">
      <c r="W91" s="327">
        <v>152</v>
      </c>
      <c r="X91" s="327">
        <v>164</v>
      </c>
    </row>
    <row r="92" spans="23:24" ht="23.25" customHeight="1">
      <c r="W92" s="327">
        <v>212</v>
      </c>
      <c r="X92" s="327">
        <v>213</v>
      </c>
    </row>
    <row r="93" spans="23:24" ht="23.25" customHeight="1">
      <c r="W93" s="327">
        <v>490</v>
      </c>
      <c r="X93" s="327">
        <v>513</v>
      </c>
    </row>
    <row r="94" spans="23:24" ht="23.25" customHeight="1">
      <c r="W94" s="327">
        <v>212</v>
      </c>
      <c r="X94" s="327">
        <v>213</v>
      </c>
    </row>
    <row r="95" spans="23:24" ht="23.25" customHeight="1">
      <c r="W95" s="327">
        <v>187</v>
      </c>
      <c r="X95" s="327">
        <v>209</v>
      </c>
    </row>
    <row r="96" spans="23:24" ht="23.25" customHeight="1">
      <c r="W96" s="327">
        <v>1385</v>
      </c>
      <c r="X96" s="327">
        <v>1436</v>
      </c>
    </row>
    <row r="97" spans="23:24" ht="23.25" customHeight="1">
      <c r="W97" s="327">
        <v>232</v>
      </c>
      <c r="X97" s="327">
        <v>252</v>
      </c>
    </row>
    <row r="98" spans="23:24" ht="23.25" customHeight="1">
      <c r="W98" s="327">
        <v>882</v>
      </c>
      <c r="X98" s="327">
        <v>915</v>
      </c>
    </row>
    <row r="99" spans="23:24" ht="23.25" customHeight="1">
      <c r="W99" s="327">
        <v>135</v>
      </c>
      <c r="X99" s="327">
        <v>182</v>
      </c>
    </row>
    <row r="100" spans="23:24" ht="23.25" customHeight="1">
      <c r="W100" s="327">
        <v>532</v>
      </c>
      <c r="X100" s="327">
        <v>573</v>
      </c>
    </row>
    <row r="101" spans="23:24" ht="23.25" customHeight="1">
      <c r="W101" s="327">
        <v>540</v>
      </c>
      <c r="X101" s="327">
        <v>622</v>
      </c>
    </row>
    <row r="102" ht="23.25" customHeight="1">
      <c r="W102" s="327"/>
    </row>
    <row r="103" ht="23.25" customHeight="1">
      <c r="W103" s="327"/>
    </row>
    <row r="104" ht="23.25" customHeight="1">
      <c r="W104" s="327"/>
    </row>
    <row r="105" ht="23.25" customHeight="1">
      <c r="W105" s="327"/>
    </row>
    <row r="106" ht="23.25" customHeight="1">
      <c r="W106" s="327"/>
    </row>
    <row r="107" ht="23.25" customHeight="1">
      <c r="W107" s="327"/>
    </row>
  </sheetData>
  <sheetProtection/>
  <autoFilter ref="A7:GY32"/>
  <mergeCells count="19">
    <mergeCell ref="B1:Y1"/>
    <mergeCell ref="B2:Y2"/>
    <mergeCell ref="A5:A7"/>
    <mergeCell ref="B5:B6"/>
    <mergeCell ref="C5:E6"/>
    <mergeCell ref="F5:I5"/>
    <mergeCell ref="L5:P6"/>
    <mergeCell ref="Q5:V5"/>
    <mergeCell ref="W5:X6"/>
    <mergeCell ref="Y5:Y7"/>
    <mergeCell ref="B33:I33"/>
    <mergeCell ref="B36:I36"/>
    <mergeCell ref="B38:Z39"/>
    <mergeCell ref="Z5:Z7"/>
    <mergeCell ref="AA5:AA7"/>
    <mergeCell ref="F6:F7"/>
    <mergeCell ref="G6:I6"/>
    <mergeCell ref="Q6:R6"/>
    <mergeCell ref="T6:U6"/>
  </mergeCells>
  <dataValidations count="1">
    <dataValidation type="list" allowBlank="1" showInputMessage="1" showErrorMessage="1" sqref="B42:B47 B50:B52">
      <formula1>$E$1:$E$3</formula1>
    </dataValidation>
  </dataValidations>
  <printOptions/>
  <pageMargins left="0.4724409448818898" right="0.4724409448818898" top="0.31496062992125984" bottom="0.31496062992125984" header="0.31496062992125984" footer="0.31496062992125984"/>
  <pageSetup fitToHeight="3" fitToWidth="3" horizontalDpi="600" verticalDpi="600" orientation="landscape" paperSize="5" scale="46" r:id="rId4"/>
  <rowBreaks count="1" manualBreakCount="1">
    <brk id="56" max="25" man="1"/>
  </rowBreaks>
  <drawing r:id="rId3"/>
  <legacyDrawing r:id="rId2"/>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D26" sqref="D26"/>
    </sheetView>
  </sheetViews>
  <sheetFormatPr defaultColWidth="11.421875" defaultRowHeight="12.7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I22"/>
  <sheetViews>
    <sheetView tabSelected="1" view="pageBreakPreview" zoomScaleSheetLayoutView="100" zoomScalePageLayoutView="0" workbookViewId="0" topLeftCell="A8">
      <selection activeCell="A23" sqref="A23:IV28"/>
    </sheetView>
  </sheetViews>
  <sheetFormatPr defaultColWidth="11.421875" defaultRowHeight="23.25" customHeight="1"/>
  <cols>
    <col min="1" max="1" width="13.00390625" style="3" customWidth="1"/>
    <col min="2" max="2" width="14.00390625" style="5" customWidth="1"/>
    <col min="3" max="3" width="15.00390625" style="5" customWidth="1"/>
    <col min="4" max="4" width="4.8515625" style="5" customWidth="1"/>
    <col min="5" max="5" width="17.8515625" style="5" bestFit="1" customWidth="1"/>
    <col min="6" max="6" width="21.140625" style="5" customWidth="1"/>
    <col min="7" max="7" width="11.8515625" style="5" customWidth="1"/>
    <col min="8" max="8" width="15.00390625" style="5" customWidth="1"/>
    <col min="9" max="9" width="14.140625" style="5" customWidth="1"/>
    <col min="10" max="11" width="3.7109375" style="4" customWidth="1"/>
    <col min="12" max="12" width="10.00390625" style="4" customWidth="1"/>
    <col min="13" max="13" width="9.421875" style="4" customWidth="1"/>
    <col min="14" max="14" width="11.57421875" style="4" customWidth="1"/>
    <col min="15" max="15" width="9.00390625" style="4" customWidth="1"/>
    <col min="16" max="16" width="9.57421875" style="4" customWidth="1"/>
    <col min="17" max="17" width="10.7109375" style="4" customWidth="1"/>
    <col min="18" max="18" width="8.8515625" style="4" customWidth="1"/>
    <col min="19" max="19" width="8.7109375" style="4" customWidth="1"/>
    <col min="20" max="20" width="10.140625" style="4" customWidth="1"/>
    <col min="21" max="21" width="30.8515625" style="4" customWidth="1"/>
    <col min="22" max="22" width="13.421875" style="51" hidden="1" customWidth="1"/>
    <col min="23" max="23" width="11.57421875" style="51" bestFit="1" customWidth="1"/>
    <col min="24" max="24" width="8.8515625" style="4" hidden="1" customWidth="1"/>
    <col min="25" max="25" width="8.7109375" style="4" hidden="1" customWidth="1"/>
    <col min="26" max="35" width="11.421875" style="51" customWidth="1"/>
    <col min="36" max="52" width="11.421875" style="4" customWidth="1"/>
    <col min="53" max="53" width="11.57421875" style="4" bestFit="1" customWidth="1"/>
    <col min="54" max="16384" width="11.421875" style="4" customWidth="1"/>
  </cols>
  <sheetData>
    <row r="1" spans="1:35" s="328" customFormat="1" ht="41.25" customHeight="1">
      <c r="A1" s="1"/>
      <c r="B1" s="382" t="s">
        <v>559</v>
      </c>
      <c r="C1" s="382"/>
      <c r="D1" s="382"/>
      <c r="E1" s="382"/>
      <c r="F1" s="382"/>
      <c r="G1" s="382"/>
      <c r="H1" s="382"/>
      <c r="I1" s="382"/>
      <c r="J1" s="382"/>
      <c r="K1" s="382"/>
      <c r="L1" s="382"/>
      <c r="M1" s="382"/>
      <c r="N1" s="382"/>
      <c r="O1" s="382"/>
      <c r="P1" s="382"/>
      <c r="Q1" s="382"/>
      <c r="R1" s="382"/>
      <c r="S1" s="382"/>
      <c r="T1" s="382"/>
      <c r="U1" s="382"/>
      <c r="V1" s="342"/>
      <c r="W1" s="329"/>
      <c r="X1" s="329"/>
      <c r="Y1" s="329"/>
      <c r="Z1" s="329"/>
      <c r="AA1" s="329"/>
      <c r="AB1" s="329"/>
      <c r="AC1" s="329"/>
      <c r="AD1" s="329"/>
      <c r="AE1" s="329"/>
      <c r="AF1" s="329"/>
      <c r="AG1" s="329"/>
      <c r="AH1" s="329"/>
      <c r="AI1" s="329"/>
    </row>
    <row r="2" spans="1:35" s="328" customFormat="1" ht="12" customHeight="1">
      <c r="A2" s="416"/>
      <c r="B2" s="416"/>
      <c r="C2" s="416"/>
      <c r="D2" s="416"/>
      <c r="E2" s="416"/>
      <c r="F2" s="416"/>
      <c r="G2" s="416"/>
      <c r="H2" s="416"/>
      <c r="I2" s="416"/>
      <c r="J2" s="416"/>
      <c r="K2" s="416"/>
      <c r="L2" s="416"/>
      <c r="M2" s="416"/>
      <c r="N2" s="416"/>
      <c r="O2" s="416"/>
      <c r="P2" s="416"/>
      <c r="Q2" s="416"/>
      <c r="R2" s="416"/>
      <c r="S2" s="416"/>
      <c r="T2" s="416"/>
      <c r="U2" s="416"/>
      <c r="V2" s="342"/>
      <c r="W2" s="329"/>
      <c r="X2" s="329"/>
      <c r="Y2" s="329"/>
      <c r="Z2" s="329"/>
      <c r="AA2" s="329"/>
      <c r="AB2" s="329"/>
      <c r="AC2" s="329"/>
      <c r="AD2" s="329"/>
      <c r="AE2" s="329"/>
      <c r="AF2" s="329"/>
      <c r="AG2" s="329"/>
      <c r="AH2" s="329"/>
      <c r="AI2" s="329"/>
    </row>
    <row r="3" ht="11.25">
      <c r="P3" s="6"/>
    </row>
    <row r="4" spans="1:25" s="29" customFormat="1" ht="11.25" customHeight="1">
      <c r="A4" s="384" t="s">
        <v>68</v>
      </c>
      <c r="B4" s="384" t="s">
        <v>12</v>
      </c>
      <c r="C4" s="419" t="s">
        <v>14</v>
      </c>
      <c r="D4" s="420"/>
      <c r="E4" s="421"/>
      <c r="F4" s="393" t="s">
        <v>0</v>
      </c>
      <c r="G4" s="394"/>
      <c r="H4" s="394"/>
      <c r="I4" s="395"/>
      <c r="J4" s="27"/>
      <c r="K4" s="27"/>
      <c r="L4" s="393" t="s">
        <v>4</v>
      </c>
      <c r="M4" s="394"/>
      <c r="N4" s="394"/>
      <c r="O4" s="394"/>
      <c r="P4" s="394"/>
      <c r="Q4" s="395"/>
      <c r="R4" s="396" t="s">
        <v>23</v>
      </c>
      <c r="S4" s="397"/>
      <c r="T4" s="384" t="s">
        <v>30</v>
      </c>
      <c r="U4" s="384" t="s">
        <v>27</v>
      </c>
      <c r="X4" s="396" t="s">
        <v>23</v>
      </c>
      <c r="Y4" s="397"/>
    </row>
    <row r="5" spans="1:25" s="29" customFormat="1" ht="22.5">
      <c r="A5" s="385"/>
      <c r="B5" s="385"/>
      <c r="C5" s="422"/>
      <c r="D5" s="423"/>
      <c r="E5" s="424"/>
      <c r="F5" s="384" t="s">
        <v>24</v>
      </c>
      <c r="G5" s="407" t="s">
        <v>5</v>
      </c>
      <c r="H5" s="408"/>
      <c r="I5" s="409"/>
      <c r="J5" s="30"/>
      <c r="K5" s="30"/>
      <c r="L5" s="386" t="s">
        <v>18</v>
      </c>
      <c r="M5" s="386"/>
      <c r="N5" s="178" t="s">
        <v>21</v>
      </c>
      <c r="O5" s="386" t="s">
        <v>546</v>
      </c>
      <c r="P5" s="386"/>
      <c r="Q5" s="31" t="s">
        <v>21</v>
      </c>
      <c r="R5" s="398" t="s">
        <v>23</v>
      </c>
      <c r="S5" s="399"/>
      <c r="T5" s="385"/>
      <c r="U5" s="385"/>
      <c r="X5" s="398" t="s">
        <v>23</v>
      </c>
      <c r="Y5" s="399"/>
    </row>
    <row r="6" spans="1:35" s="32" customFormat="1" ht="22.5">
      <c r="A6" s="385"/>
      <c r="B6" s="30" t="s">
        <v>13</v>
      </c>
      <c r="C6" s="27" t="s">
        <v>15</v>
      </c>
      <c r="D6" s="28"/>
      <c r="E6" s="27" t="s">
        <v>6</v>
      </c>
      <c r="F6" s="385"/>
      <c r="G6" s="27" t="s">
        <v>1</v>
      </c>
      <c r="H6" s="27" t="s">
        <v>2</v>
      </c>
      <c r="I6" s="27" t="s">
        <v>3</v>
      </c>
      <c r="J6" s="30" t="s">
        <v>17</v>
      </c>
      <c r="K6" s="30" t="s">
        <v>16</v>
      </c>
      <c r="L6" s="27" t="s">
        <v>19</v>
      </c>
      <c r="M6" s="27" t="s">
        <v>20</v>
      </c>
      <c r="N6" s="30" t="s">
        <v>65</v>
      </c>
      <c r="O6" s="27" t="s">
        <v>22</v>
      </c>
      <c r="P6" s="27" t="s">
        <v>20</v>
      </c>
      <c r="Q6" s="30" t="s">
        <v>545</v>
      </c>
      <c r="R6" s="27" t="s">
        <v>26</v>
      </c>
      <c r="S6" s="27" t="s">
        <v>25</v>
      </c>
      <c r="T6" s="385"/>
      <c r="U6" s="385"/>
      <c r="V6" s="37"/>
      <c r="W6" s="37"/>
      <c r="X6" s="27" t="s">
        <v>26</v>
      </c>
      <c r="Y6" s="27" t="s">
        <v>25</v>
      </c>
      <c r="Z6" s="37"/>
      <c r="AA6" s="37"/>
      <c r="AB6" s="37"/>
      <c r="AC6" s="37"/>
      <c r="AD6" s="37"/>
      <c r="AE6" s="37"/>
      <c r="AF6" s="37"/>
      <c r="AG6" s="37"/>
      <c r="AH6" s="37"/>
      <c r="AI6" s="37"/>
    </row>
    <row r="7" spans="1:25" s="47" customFormat="1" ht="123.75">
      <c r="A7" s="349" t="s">
        <v>552</v>
      </c>
      <c r="B7" s="330" t="s">
        <v>535</v>
      </c>
      <c r="C7" s="331" t="s">
        <v>536</v>
      </c>
      <c r="D7" s="331" t="s">
        <v>119</v>
      </c>
      <c r="E7" s="330" t="s">
        <v>544</v>
      </c>
      <c r="F7" s="332" t="s">
        <v>549</v>
      </c>
      <c r="G7" s="330" t="s">
        <v>548</v>
      </c>
      <c r="H7" s="333" t="s">
        <v>547</v>
      </c>
      <c r="I7" s="334" t="s">
        <v>551</v>
      </c>
      <c r="J7" s="339" t="s">
        <v>171</v>
      </c>
      <c r="K7" s="341" t="s">
        <v>28</v>
      </c>
      <c r="L7" s="335" t="s">
        <v>537</v>
      </c>
      <c r="M7" s="336">
        <v>110</v>
      </c>
      <c r="N7" s="337">
        <v>0.4182</v>
      </c>
      <c r="O7" s="337">
        <v>0.5818</v>
      </c>
      <c r="P7" s="336">
        <v>64</v>
      </c>
      <c r="Q7" s="337">
        <v>1</v>
      </c>
      <c r="R7" s="339">
        <v>290</v>
      </c>
      <c r="S7" s="339">
        <v>290</v>
      </c>
      <c r="T7" s="339">
        <v>120</v>
      </c>
      <c r="U7" s="338" t="s">
        <v>554</v>
      </c>
      <c r="V7" s="272"/>
      <c r="X7" s="339">
        <v>290</v>
      </c>
      <c r="Y7" s="339">
        <v>290</v>
      </c>
    </row>
    <row r="8" spans="1:25" s="47" customFormat="1" ht="12.75">
      <c r="A8" s="415" t="s">
        <v>507</v>
      </c>
      <c r="B8" s="401"/>
      <c r="C8" s="401"/>
      <c r="D8" s="401"/>
      <c r="E8" s="401"/>
      <c r="F8" s="401"/>
      <c r="G8" s="401"/>
      <c r="H8" s="401"/>
      <c r="I8" s="401"/>
      <c r="J8" s="401"/>
      <c r="K8" s="402"/>
      <c r="L8" s="335"/>
      <c r="M8" s="336"/>
      <c r="N8" s="337"/>
      <c r="O8" s="337"/>
      <c r="P8" s="336"/>
      <c r="Q8" s="337"/>
      <c r="R8" s="359"/>
      <c r="S8" s="359"/>
      <c r="T8" s="360"/>
      <c r="U8" s="338"/>
      <c r="V8" s="272"/>
      <c r="X8" s="344"/>
      <c r="Y8" s="344"/>
    </row>
    <row r="9" spans="1:25" s="47" customFormat="1" ht="12.75">
      <c r="A9" s="354"/>
      <c r="B9" s="133"/>
      <c r="C9" s="298"/>
      <c r="D9" s="298"/>
      <c r="E9" s="133"/>
      <c r="F9" s="361"/>
      <c r="G9" s="361"/>
      <c r="H9" s="361"/>
      <c r="I9" s="361"/>
      <c r="J9" s="361"/>
      <c r="K9" s="361"/>
      <c r="L9" s="305"/>
      <c r="M9" s="418"/>
      <c r="N9" s="418"/>
      <c r="O9" s="418"/>
      <c r="P9" s="418"/>
      <c r="Q9" s="307"/>
      <c r="R9" s="357"/>
      <c r="S9" s="357"/>
      <c r="T9" s="355"/>
      <c r="X9" s="133"/>
      <c r="Y9" s="133"/>
    </row>
    <row r="10" spans="1:21" s="351" customFormat="1" ht="90">
      <c r="A10" s="352" t="s">
        <v>538</v>
      </c>
      <c r="B10" s="330" t="s">
        <v>539</v>
      </c>
      <c r="C10" s="331" t="s">
        <v>540</v>
      </c>
      <c r="D10" s="331" t="s">
        <v>378</v>
      </c>
      <c r="E10" s="340" t="s">
        <v>541</v>
      </c>
      <c r="F10" s="332" t="s">
        <v>553</v>
      </c>
      <c r="G10" s="330" t="s">
        <v>548</v>
      </c>
      <c r="H10" s="333" t="s">
        <v>542</v>
      </c>
      <c r="I10" s="333" t="s">
        <v>543</v>
      </c>
      <c r="J10" s="331" t="s">
        <v>29</v>
      </c>
      <c r="K10" s="331" t="s">
        <v>28</v>
      </c>
      <c r="L10" s="348" t="s">
        <v>534</v>
      </c>
      <c r="M10" s="348">
        <v>9</v>
      </c>
      <c r="N10" s="337">
        <v>0</v>
      </c>
      <c r="O10" s="337">
        <v>1</v>
      </c>
      <c r="P10" s="336">
        <v>9</v>
      </c>
      <c r="Q10" s="337">
        <v>1</v>
      </c>
      <c r="R10" s="336"/>
      <c r="S10" s="356"/>
      <c r="T10" s="339">
        <v>135</v>
      </c>
      <c r="U10" s="338" t="s">
        <v>550</v>
      </c>
    </row>
    <row r="11" spans="1:21" s="358" customFormat="1" ht="12.75">
      <c r="A11" s="415" t="s">
        <v>555</v>
      </c>
      <c r="B11" s="401"/>
      <c r="C11" s="401"/>
      <c r="D11" s="401"/>
      <c r="E11" s="401"/>
      <c r="F11" s="401"/>
      <c r="G11" s="401"/>
      <c r="H11" s="401"/>
      <c r="I11" s="401"/>
      <c r="J11" s="401"/>
      <c r="K11" s="402"/>
      <c r="L11" s="362"/>
      <c r="M11" s="363"/>
      <c r="N11" s="364"/>
      <c r="O11" s="364"/>
      <c r="P11" s="365"/>
      <c r="Q11" s="364"/>
      <c r="R11" s="365"/>
      <c r="S11" s="365"/>
      <c r="T11" s="366"/>
      <c r="U11" s="338"/>
    </row>
    <row r="12" spans="1:25" s="47" customFormat="1" ht="13.5" customHeight="1">
      <c r="A12" s="367"/>
      <c r="B12" s="368"/>
      <c r="C12" s="368"/>
      <c r="D12" s="368"/>
      <c r="E12" s="368"/>
      <c r="F12" s="369"/>
      <c r="G12" s="369"/>
      <c r="H12" s="369"/>
      <c r="I12" s="369"/>
      <c r="J12" s="370"/>
      <c r="K12" s="370"/>
      <c r="L12" s="371"/>
      <c r="M12" s="372"/>
      <c r="N12" s="364"/>
      <c r="O12" s="364"/>
      <c r="P12" s="365"/>
      <c r="Q12" s="364"/>
      <c r="R12" s="365"/>
      <c r="S12" s="365"/>
      <c r="T12" s="366"/>
      <c r="U12" s="369"/>
      <c r="V12" s="272"/>
      <c r="X12" s="271"/>
      <c r="Y12" s="271"/>
    </row>
    <row r="13" spans="1:25" s="47" customFormat="1" ht="12.75">
      <c r="A13" s="400" t="s">
        <v>556</v>
      </c>
      <c r="B13" s="401"/>
      <c r="C13" s="401"/>
      <c r="D13" s="401"/>
      <c r="E13" s="401"/>
      <c r="F13" s="401"/>
      <c r="G13" s="401"/>
      <c r="H13" s="401"/>
      <c r="I13" s="401"/>
      <c r="J13" s="401"/>
      <c r="K13" s="402"/>
      <c r="L13" s="373"/>
      <c r="M13" s="374"/>
      <c r="N13" s="375"/>
      <c r="O13" s="376" t="s">
        <v>557</v>
      </c>
      <c r="P13" s="377">
        <v>1</v>
      </c>
      <c r="Q13" s="378"/>
      <c r="R13" s="379">
        <v>290</v>
      </c>
      <c r="S13" s="379">
        <v>290</v>
      </c>
      <c r="T13" s="380"/>
      <c r="U13" s="381"/>
      <c r="V13" s="272"/>
      <c r="X13" s="271"/>
      <c r="Y13" s="271"/>
    </row>
    <row r="14" spans="1:25" s="47" customFormat="1" ht="12.75">
      <c r="A14" s="350"/>
      <c r="B14" s="271"/>
      <c r="C14" s="343"/>
      <c r="D14" s="343"/>
      <c r="E14" s="271"/>
      <c r="F14" s="353"/>
      <c r="G14" s="353"/>
      <c r="H14" s="353"/>
      <c r="I14" s="353"/>
      <c r="J14" s="353"/>
      <c r="K14" s="353"/>
      <c r="L14" s="345"/>
      <c r="M14" s="346"/>
      <c r="N14" s="347"/>
      <c r="O14" s="347"/>
      <c r="P14" s="346"/>
      <c r="Q14" s="347"/>
      <c r="R14" s="271"/>
      <c r="S14" s="271"/>
      <c r="T14" s="344"/>
      <c r="U14" s="272"/>
      <c r="V14" s="272"/>
      <c r="X14" s="271"/>
      <c r="Y14" s="271"/>
    </row>
    <row r="15" spans="1:21" s="351" customFormat="1" ht="12.75">
      <c r="A15" s="412" t="s">
        <v>558</v>
      </c>
      <c r="B15" s="417"/>
      <c r="C15" s="417"/>
      <c r="D15" s="417"/>
      <c r="E15" s="417"/>
      <c r="F15" s="417"/>
      <c r="G15" s="417"/>
      <c r="H15" s="417"/>
      <c r="I15" s="417"/>
      <c r="J15" s="417"/>
      <c r="K15" s="417"/>
      <c r="L15" s="417"/>
      <c r="M15" s="417"/>
      <c r="N15" s="417"/>
      <c r="O15" s="417"/>
      <c r="P15" s="417"/>
      <c r="Q15" s="417"/>
      <c r="R15" s="417"/>
      <c r="S15" s="417"/>
      <c r="T15" s="417"/>
      <c r="U15" s="272"/>
    </row>
    <row r="16" spans="1:21" s="351" customFormat="1" ht="12.75">
      <c r="A16" s="417"/>
      <c r="B16" s="417"/>
      <c r="C16" s="417"/>
      <c r="D16" s="417"/>
      <c r="E16" s="417"/>
      <c r="F16" s="417"/>
      <c r="G16" s="417"/>
      <c r="H16" s="417"/>
      <c r="I16" s="417"/>
      <c r="J16" s="417"/>
      <c r="K16" s="417"/>
      <c r="L16" s="417"/>
      <c r="M16" s="417"/>
      <c r="N16" s="417"/>
      <c r="O16" s="417"/>
      <c r="P16" s="417"/>
      <c r="Q16" s="417"/>
      <c r="R16" s="417"/>
      <c r="S16" s="417"/>
      <c r="T16" s="417"/>
      <c r="U16" s="272"/>
    </row>
    <row r="17" spans="1:25" s="47" customFormat="1" ht="12.75">
      <c r="A17" s="350"/>
      <c r="B17" s="271"/>
      <c r="C17" s="343"/>
      <c r="D17" s="343"/>
      <c r="E17" s="271"/>
      <c r="F17" s="353"/>
      <c r="G17" s="353"/>
      <c r="H17" s="353"/>
      <c r="I17" s="353"/>
      <c r="J17" s="353"/>
      <c r="K17" s="353"/>
      <c r="L17" s="345"/>
      <c r="M17" s="346"/>
      <c r="N17" s="347"/>
      <c r="O17" s="347"/>
      <c r="P17" s="346"/>
      <c r="Q17" s="347"/>
      <c r="R17" s="271"/>
      <c r="S17" s="271"/>
      <c r="T17" s="344"/>
      <c r="U17" s="272"/>
      <c r="V17" s="272"/>
      <c r="X17" s="271"/>
      <c r="Y17" s="271"/>
    </row>
    <row r="18" spans="1:25" s="47" customFormat="1" ht="12.75">
      <c r="A18" s="350"/>
      <c r="B18" s="271"/>
      <c r="C18" s="343"/>
      <c r="D18" s="343"/>
      <c r="E18" s="271"/>
      <c r="F18" s="353"/>
      <c r="G18" s="353"/>
      <c r="H18" s="353"/>
      <c r="I18" s="353"/>
      <c r="J18" s="353"/>
      <c r="K18" s="353"/>
      <c r="L18" s="345"/>
      <c r="M18" s="346"/>
      <c r="N18" s="347"/>
      <c r="O18" s="347"/>
      <c r="P18" s="346"/>
      <c r="Q18" s="347"/>
      <c r="R18" s="271"/>
      <c r="S18" s="271"/>
      <c r="T18" s="344"/>
      <c r="U18" s="272"/>
      <c r="V18" s="272"/>
      <c r="X18" s="271"/>
      <c r="Y18" s="271"/>
    </row>
    <row r="19" spans="1:25" s="47" customFormat="1" ht="12.75">
      <c r="A19" s="350"/>
      <c r="B19" s="271"/>
      <c r="C19" s="343"/>
      <c r="D19" s="343"/>
      <c r="E19" s="271"/>
      <c r="F19" s="353"/>
      <c r="G19" s="353"/>
      <c r="H19" s="353"/>
      <c r="I19" s="353"/>
      <c r="J19" s="353"/>
      <c r="K19" s="353"/>
      <c r="L19" s="345"/>
      <c r="M19" s="346"/>
      <c r="N19" s="347"/>
      <c r="O19" s="347"/>
      <c r="P19" s="346"/>
      <c r="Q19" s="347"/>
      <c r="R19" s="271"/>
      <c r="S19" s="271"/>
      <c r="T19" s="344"/>
      <c r="U19" s="272"/>
      <c r="V19" s="272"/>
      <c r="X19" s="271"/>
      <c r="Y19" s="271"/>
    </row>
    <row r="20" spans="1:25" s="47" customFormat="1" ht="12.75">
      <c r="A20" s="350"/>
      <c r="B20" s="271"/>
      <c r="C20" s="343"/>
      <c r="D20" s="343"/>
      <c r="E20" s="271"/>
      <c r="F20" s="353"/>
      <c r="G20" s="353"/>
      <c r="H20" s="353"/>
      <c r="I20" s="353"/>
      <c r="J20" s="353"/>
      <c r="K20" s="353"/>
      <c r="L20" s="345"/>
      <c r="M20" s="346"/>
      <c r="N20" s="347"/>
      <c r="O20" s="347"/>
      <c r="P20" s="346"/>
      <c r="Q20" s="347"/>
      <c r="R20" s="271"/>
      <c r="S20" s="271"/>
      <c r="T20" s="344"/>
      <c r="U20" s="272"/>
      <c r="V20" s="272"/>
      <c r="X20" s="271"/>
      <c r="Y20" s="271"/>
    </row>
    <row r="21" spans="1:25" s="47" customFormat="1" ht="12.75">
      <c r="A21" s="350"/>
      <c r="B21" s="271"/>
      <c r="C21" s="343"/>
      <c r="D21" s="343"/>
      <c r="E21" s="271"/>
      <c r="F21" s="353"/>
      <c r="G21" s="353"/>
      <c r="H21" s="353"/>
      <c r="I21" s="353"/>
      <c r="J21" s="353"/>
      <c r="K21" s="353"/>
      <c r="L21" s="345"/>
      <c r="M21" s="346"/>
      <c r="N21" s="347"/>
      <c r="O21" s="347"/>
      <c r="P21" s="346"/>
      <c r="Q21" s="347"/>
      <c r="R21" s="271"/>
      <c r="S21" s="271"/>
      <c r="T21" s="344"/>
      <c r="U21" s="272"/>
      <c r="V21" s="272"/>
      <c r="X21" s="271"/>
      <c r="Y21" s="271"/>
    </row>
    <row r="22" spans="1:25" s="47" customFormat="1" ht="12.75">
      <c r="A22" s="350"/>
      <c r="B22" s="271"/>
      <c r="C22" s="343"/>
      <c r="D22" s="343"/>
      <c r="E22" s="271"/>
      <c r="F22" s="353"/>
      <c r="G22" s="353"/>
      <c r="H22" s="353"/>
      <c r="I22" s="353"/>
      <c r="J22" s="353"/>
      <c r="K22" s="353"/>
      <c r="L22" s="345"/>
      <c r="M22" s="346"/>
      <c r="N22" s="347"/>
      <c r="O22" s="347"/>
      <c r="P22" s="346"/>
      <c r="Q22" s="347"/>
      <c r="R22" s="271"/>
      <c r="S22" s="271"/>
      <c r="T22" s="344"/>
      <c r="U22" s="272"/>
      <c r="V22" s="272"/>
      <c r="X22" s="271"/>
      <c r="Y22" s="271"/>
    </row>
  </sheetData>
  <sheetProtection/>
  <mergeCells count="20">
    <mergeCell ref="A13:K13"/>
    <mergeCell ref="A15:T16"/>
    <mergeCell ref="B1:U1"/>
    <mergeCell ref="A8:K8"/>
    <mergeCell ref="M9:P9"/>
    <mergeCell ref="T4:T6"/>
    <mergeCell ref="C4:E5"/>
    <mergeCell ref="L4:Q4"/>
    <mergeCell ref="X4:Y5"/>
    <mergeCell ref="F5:F6"/>
    <mergeCell ref="G5:I5"/>
    <mergeCell ref="L5:M5"/>
    <mergeCell ref="O5:P5"/>
    <mergeCell ref="A2:U2"/>
    <mergeCell ref="F4:I4"/>
    <mergeCell ref="U4:U6"/>
    <mergeCell ref="A11:K11"/>
    <mergeCell ref="A4:A6"/>
    <mergeCell ref="B4:B5"/>
    <mergeCell ref="R4:S5"/>
  </mergeCells>
  <printOptions horizontalCentered="1"/>
  <pageMargins left="0" right="0" top="0.3937007874015748" bottom="0.3937007874015748" header="0.31496062992125984" footer="0.31496062992125984"/>
  <pageSetup fitToHeight="3" fitToWidth="3" horizontalDpi="600" verticalDpi="600" orientation="landscape" paperSize="5" scale="53" r:id="rId1"/>
  <headerFooter>
    <oddFooter>&amp;R&amp;12&amp;P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COMUNIDADES INDIGENAS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jlopez</dc:creator>
  <cp:keywords/>
  <dc:description/>
  <cp:lastModifiedBy>jnolasco</cp:lastModifiedBy>
  <cp:lastPrinted>2011-02-18T20:24:32Z</cp:lastPrinted>
  <dcterms:created xsi:type="dcterms:W3CDTF">2007-02-21T09:40:41Z</dcterms:created>
  <dcterms:modified xsi:type="dcterms:W3CDTF">2011-05-27T18:21:26Z</dcterms:modified>
  <cp:category/>
  <cp:version/>
  <cp:contentType/>
  <cp:contentStatus/>
</cp:coreProperties>
</file>